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405" activeTab="4"/>
  </bookViews>
  <sheets>
    <sheet name="úvod" sheetId="1" r:id="rId1"/>
    <sheet name="seznam" sheetId="2" r:id="rId2"/>
    <sheet name="1. stupeň" sheetId="3" r:id="rId3"/>
    <sheet name="1.stupeň2" sheetId="4" r:id="rId4"/>
    <sheet name="2.stupeň" sheetId="5" r:id="rId5"/>
    <sheet name="útěcha" sheetId="6" r:id="rId6"/>
    <sheet name="V-U 32" sheetId="7" r:id="rId7"/>
  </sheets>
  <definedNames>
    <definedName name="_xlnm.Print_Titles" localSheetId="1">'seznam'!$1:$1</definedName>
    <definedName name="_xlnm.Print_Area" localSheetId="2">'1. stupeň'!$A$1:$K$58</definedName>
    <definedName name="_xlnm.Print_Area" localSheetId="3">'1.stupeň2'!$A$1:$K$58</definedName>
  </definedNames>
  <calcPr fullCalcOnLoad="1"/>
</workbook>
</file>

<file path=xl/sharedStrings.xml><?xml version="1.0" encoding="utf-8"?>
<sst xmlns="http://schemas.openxmlformats.org/spreadsheetml/2006/main" count="929" uniqueCount="261">
  <si>
    <t>číslo</t>
  </si>
  <si>
    <t>hráč1</t>
  </si>
  <si>
    <t>klub</t>
  </si>
  <si>
    <t>hráč2</t>
  </si>
  <si>
    <t>set1</t>
  </si>
  <si>
    <t>set2</t>
  </si>
  <si>
    <t>set3</t>
  </si>
  <si>
    <t>set4</t>
  </si>
  <si>
    <t>set5</t>
  </si>
  <si>
    <t>D</t>
  </si>
  <si>
    <t>H</t>
  </si>
  <si>
    <t>vítěz</t>
  </si>
  <si>
    <t>Jméno</t>
  </si>
  <si>
    <t>Oddíl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</si>
  <si>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</si>
  <si>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</si>
  <si>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</si>
  <si>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</si>
  <si>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</si>
  <si>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</si>
  <si>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</si>
  <si>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</si>
  <si>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</si>
  <si>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</si>
  <si>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</si>
  <si>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</si>
  <si>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datnar</t>
  </si>
  <si>
    <t>Název turnaje:</t>
  </si>
  <si>
    <t>Datum turnaje:</t>
  </si>
  <si>
    <t>Kategorie:</t>
  </si>
  <si>
    <t>XXX</t>
  </si>
  <si>
    <t>umístění</t>
  </si>
  <si>
    <t>Popis:</t>
  </si>
  <si>
    <t>seznam:</t>
  </si>
  <si>
    <t>obsahuje seznam hráčů</t>
  </si>
  <si>
    <t>debl:</t>
  </si>
  <si>
    <t>v posledním sloupci se zabrazí součet umístění párů pro nasazení (ze sloupce umístění v seznamu)</t>
  </si>
  <si>
    <t>P-1</t>
  </si>
  <si>
    <t>každý hráč dále identifikován podle čísla v prvním sloupci tohoto seznamu - po zadání neměnit!</t>
  </si>
  <si>
    <t>prázdná místa nevyplňovat</t>
  </si>
  <si>
    <t>V-1</t>
  </si>
  <si>
    <t>podle zadání vylosování v listu P-1 se zobrazí seznam zápasů jednotlivých kol</t>
  </si>
  <si>
    <t>hráči se podle výsledků předchozích kol automaticky doplňují do kol následujících</t>
  </si>
  <si>
    <t>v případě menšího počtu pavouků je možné odstanit řádky s údaji nepotřebných pavouků</t>
  </si>
  <si>
    <t>V-2</t>
  </si>
  <si>
    <t>tabulky pro 2.stupeň soutěží</t>
  </si>
  <si>
    <t>po dohrání skupinek doplnit podle bodů umístění hráčů ve skupině</t>
  </si>
  <si>
    <t>postup:</t>
  </si>
  <si>
    <t>podle vyplněných umístění ve skupinách se zobrazí seznam hráčů postoupivších z prvního a druhého místa</t>
  </si>
  <si>
    <t>P-3</t>
  </si>
  <si>
    <t>pavouk pro 3.stupeň soutěží</t>
  </si>
  <si>
    <t>V-3</t>
  </si>
  <si>
    <t>výsledky 3.stupně soutěží</t>
  </si>
  <si>
    <t>zacházení stejné jako V-1</t>
  </si>
  <si>
    <t>připraveno pro 128 hráčů, na straně 5 pavouk závěrečných výsledků (od 3.kola)</t>
  </si>
  <si>
    <t>P-U</t>
  </si>
  <si>
    <t>pavouk pro soutěž útěchy</t>
  </si>
  <si>
    <t>V-U</t>
  </si>
  <si>
    <t>výsledky útěchy</t>
  </si>
  <si>
    <t>P-D</t>
  </si>
  <si>
    <t>pavouk pro čtyřhru</t>
  </si>
  <si>
    <t>V-D</t>
  </si>
  <si>
    <t>výsledky čtyřher</t>
  </si>
  <si>
    <t>Z-singl</t>
  </si>
  <si>
    <t>příprava pro tisk zápisů dvouher</t>
  </si>
  <si>
    <t xml:space="preserve"> - / kliknout na rovná se, přeskočit do listu výsledků, kliknou na žádanou buńku a zmačknout enter /</t>
  </si>
  <si>
    <t>tento vzorec zkopírovat do již vyplněných sloupců</t>
  </si>
  <si>
    <t>v praxi se tisknou zápasy jdoucí za sebou, takže se kopíruje buňka vlevo nahoře do celého výběru</t>
  </si>
  <si>
    <t>vyplněné buňky jsou zdrojem pro tisk v následujícím listu</t>
  </si>
  <si>
    <t>T-singl</t>
  </si>
  <si>
    <t>podle údajů vyplněných v listu Z-singl se vyplní údaje ve formulářích zápisů</t>
  </si>
  <si>
    <t>Z-debl</t>
  </si>
  <si>
    <t>stejné jako Z-singl, zdrová data ze zápasů deblů - delší</t>
  </si>
  <si>
    <t>T-debl</t>
  </si>
  <si>
    <t>stejné jako T-singl</t>
  </si>
  <si>
    <t>Pro efektivní využítí je nutné při losování zaznamenávat čísla hráčů</t>
  </si>
  <si>
    <t>do zelených políček vypsat přihlášené čtyřhry (čísla hráčů)</t>
  </si>
  <si>
    <t>pokud bude počet pavouků menší, možné nepotřebné smazat (odstranit celé řádky)</t>
  </si>
  <si>
    <t>do prvního sloupce vypsat čísla hráčů (ze seznamu) podle jejich vylosovaných pozic</t>
  </si>
  <si>
    <t>do prvního sloupce vložit propojení na název soutěže v řádku tištěného zápasu (např. ='V-1'!A2)</t>
  </si>
  <si>
    <t>vytisknout list a zápisy se rozstříhat</t>
  </si>
  <si>
    <t>seznam hráčů musí být seřazen vzestupně podle prvního sloupce</t>
  </si>
  <si>
    <t>Oficiální stránky České asociace stolního tenisu: www.ping-pong.cz</t>
  </si>
  <si>
    <t>hráči hrající spolu vypsat pod sebe, stačí psát číslo prvního hráče do horní buňky, do sloupce B</t>
  </si>
  <si>
    <t>hráči neumístění na žebříčku umístění 999 - pro nasazení čtyřher (počíá se součet)</t>
  </si>
  <si>
    <t>Autor:</t>
  </si>
  <si>
    <t>Ing. Radim Novák, AGA Production</t>
  </si>
  <si>
    <t>pingpong@cstv.cz , www.aga-production.cz</t>
  </si>
  <si>
    <t>Autorizace:</t>
  </si>
  <si>
    <t>Vyplňte:</t>
  </si>
  <si>
    <t>výsledky se vyplňují v listu V-1</t>
  </si>
  <si>
    <t>podle výsledků se automaticky vyplňuje i list P-1</t>
  </si>
  <si>
    <t>pavouky 1.stupně soutěže, připraveno pro 256 účastníků kvalifikace, určeno pro tisk</t>
  </si>
  <si>
    <t>v případě volného losu přepsat postupujícímu hráči vzorec pro výpočet setů jedničkou</t>
  </si>
  <si>
    <t>v případě skreče přepsat postupujícímu hráči vzorec pro výpočet setů jedničkou</t>
  </si>
  <si>
    <t>Strana 1 z 1</t>
  </si>
  <si>
    <t>Účastníků:</t>
  </si>
  <si>
    <t>k použití pro BTM ČR v sezóně 2003-2004</t>
  </si>
  <si>
    <t>použití pro jiné účely pouze se souhlasem autora</t>
  </si>
  <si>
    <t>výsledky jednotlivých setů doplnit do zelených sloupců (K až O)</t>
  </si>
  <si>
    <t>automaticky se počítá výsledek setů</t>
  </si>
  <si>
    <t xml:space="preserve">výsledky jednotlivých setů doplnit do (W až AA), </t>
  </si>
  <si>
    <t>automaticky se počítá výsledek setů, který se doplní do tabulky</t>
  </si>
  <si>
    <t xml:space="preserve">podle výsledků se spočítají body, </t>
  </si>
  <si>
    <t>v případě skreče nutné příslušnému hráči přepsat ve sloupci AH resp. AI jedničku na nulu</t>
  </si>
  <si>
    <t>U listů výsledků a pavouků je více variant v názvu označených max. počtem hráčů resp. párů</t>
  </si>
  <si>
    <t>Nepoužité listy lze odstranit (podle počtu počtu účastníků se vybere pavouk, ostatní se odstraní)</t>
  </si>
  <si>
    <t>Satellite Youth Table Tennis Tournament</t>
  </si>
  <si>
    <t>15.8. 2011</t>
  </si>
  <si>
    <t>YOUNGER CADET BOYS</t>
  </si>
  <si>
    <t>Genin Valentin</t>
  </si>
  <si>
    <t xml:space="preserve">Belarus </t>
  </si>
  <si>
    <t>Davnarovich Pavel</t>
  </si>
  <si>
    <t>Rukljecov Vladislav</t>
  </si>
  <si>
    <t>Gottschalk Florian</t>
  </si>
  <si>
    <t>Berliner (GER)</t>
  </si>
  <si>
    <t>Vacek Jan</t>
  </si>
  <si>
    <t>Břeclav</t>
  </si>
  <si>
    <t>Riznychenko Ostap</t>
  </si>
  <si>
    <t>Dnepropetrovsk (UKR)</t>
  </si>
  <si>
    <t>Filip Hromek</t>
  </si>
  <si>
    <t>Dubňany</t>
  </si>
  <si>
    <t>Lancz Vojtěch</t>
  </si>
  <si>
    <t>Gasto Galanta</t>
  </si>
  <si>
    <t>Wiltschka David</t>
  </si>
  <si>
    <t xml:space="preserve">Bartoš Martin </t>
  </si>
  <si>
    <t>Hluk</t>
  </si>
  <si>
    <t>Karamazin Yaniv</t>
  </si>
  <si>
    <t xml:space="preserve">Israel </t>
  </si>
  <si>
    <t>David Matan</t>
  </si>
  <si>
    <t>Shusterman Yonatan</t>
  </si>
  <si>
    <t>Erez Shmueli</t>
  </si>
  <si>
    <t>Shilo Elitzedek</t>
  </si>
  <si>
    <t>Omer Levi</t>
  </si>
  <si>
    <t>Ivan Karpov</t>
  </si>
  <si>
    <t>Nadav Lazimi</t>
  </si>
  <si>
    <t>Noam  Baltiansky</t>
  </si>
  <si>
    <t>Eyal Baruch</t>
  </si>
  <si>
    <t xml:space="preserve">Isreal </t>
  </si>
  <si>
    <t>Miko Michal</t>
  </si>
  <si>
    <t>Karlova Ves</t>
  </si>
  <si>
    <t>Kováč Maxim</t>
  </si>
  <si>
    <t>Krpálek Martin</t>
  </si>
  <si>
    <t>Komňa</t>
  </si>
  <si>
    <t>Zelinka Jakub</t>
  </si>
  <si>
    <t xml:space="preserve">Košice </t>
  </si>
  <si>
    <t>Červinka Lukáš</t>
  </si>
  <si>
    <t>KST Kroměříž</t>
  </si>
  <si>
    <t>Peko Štefan</t>
  </si>
  <si>
    <t>KST Viktoria Trnava</t>
  </si>
  <si>
    <t>Jiří Martinko</t>
  </si>
  <si>
    <t>Mittal Ostrava</t>
  </si>
  <si>
    <t>Trúchlik Jozef</t>
  </si>
  <si>
    <t>MSK Čadca</t>
  </si>
  <si>
    <t>Cyprich Radovan</t>
  </si>
  <si>
    <t>Cyprich Samuel</t>
  </si>
  <si>
    <t>Schlie Jonah</t>
  </si>
  <si>
    <t xml:space="preserve">Niedersachsen </t>
  </si>
  <si>
    <t>Ševec Jakub</t>
  </si>
  <si>
    <t xml:space="preserve">Nitra </t>
  </si>
  <si>
    <t>Bogdan Cosmin Singeorzan</t>
  </si>
  <si>
    <t>Rumunsko</t>
  </si>
  <si>
    <t>Viesner Vojtěch</t>
  </si>
  <si>
    <t>SK Dobré</t>
  </si>
  <si>
    <t>Hrebačka Tadeáš</t>
  </si>
  <si>
    <t>SKST Hodonín</t>
  </si>
  <si>
    <t>Šálený David</t>
  </si>
  <si>
    <t>SKST Týn nad Vltavou</t>
  </si>
  <si>
    <t>Reho René</t>
  </si>
  <si>
    <t>STK Lokomotiva Košice</t>
  </si>
  <si>
    <t>Bareš David</t>
  </si>
  <si>
    <t>TJ Bystřice pod Hostýnem</t>
  </si>
  <si>
    <t>Petřík Filip</t>
  </si>
  <si>
    <t>Trebišov</t>
  </si>
  <si>
    <t>Svitana Ján</t>
  </si>
  <si>
    <t>Trenčianská teplá</t>
  </si>
  <si>
    <t>Feiler Marcel</t>
  </si>
  <si>
    <t>Trenčianská Teplá</t>
  </si>
  <si>
    <t>Hudec Alexander</t>
  </si>
  <si>
    <t>Trenčín 2</t>
  </si>
  <si>
    <t>Černota Filip</t>
  </si>
  <si>
    <t>TTC Brandýs nad Labem</t>
  </si>
  <si>
    <t>TTC Majcichov</t>
  </si>
  <si>
    <t>Siska Tomáš</t>
  </si>
  <si>
    <t>Oharek David</t>
  </si>
  <si>
    <t>Zlín</t>
  </si>
  <si>
    <t>Výmola Patrik</t>
  </si>
  <si>
    <t>Nedbálek Michal</t>
  </si>
  <si>
    <t>Strejček Karel</t>
  </si>
  <si>
    <t>Koldas Tomáš</t>
  </si>
  <si>
    <t xml:space="preserve">Zlín </t>
  </si>
  <si>
    <t>Plhák Martin</t>
  </si>
  <si>
    <t>Lapčík Ondřej</t>
  </si>
  <si>
    <t>Dufek Jakub</t>
  </si>
  <si>
    <t>Skupina I</t>
  </si>
  <si>
    <t>Skupina J</t>
  </si>
  <si>
    <t>Skupina K</t>
  </si>
  <si>
    <t>Skupina L</t>
  </si>
  <si>
    <t>Skupina M</t>
  </si>
  <si>
    <t>Skupina N</t>
  </si>
  <si>
    <t>Skupina O</t>
  </si>
  <si>
    <t>Kostrián Matúš</t>
  </si>
  <si>
    <t>STK Pezinok</t>
  </si>
  <si>
    <t>Jalovecký Marek</t>
  </si>
  <si>
    <t>Baka Martin</t>
  </si>
  <si>
    <t>1</t>
  </si>
  <si>
    <t>2</t>
  </si>
  <si>
    <t>-9</t>
  </si>
  <si>
    <t>8</t>
  </si>
  <si>
    <t>7</t>
  </si>
  <si>
    <t>6</t>
  </si>
  <si>
    <t>5</t>
  </si>
  <si>
    <t>3</t>
  </si>
  <si>
    <t>9</t>
  </si>
  <si>
    <t>-10</t>
  </si>
  <si>
    <t>-8</t>
  </si>
  <si>
    <t>11</t>
  </si>
  <si>
    <t>-13</t>
  </si>
  <si>
    <t>-7</t>
  </si>
  <si>
    <t>12</t>
  </si>
  <si>
    <t>4</t>
  </si>
  <si>
    <t>-6</t>
  </si>
  <si>
    <t>10</t>
  </si>
  <si>
    <t>-11</t>
  </si>
  <si>
    <t>-5</t>
  </si>
  <si>
    <t>-4</t>
  </si>
  <si>
    <t>0</t>
  </si>
  <si>
    <t>-17</t>
  </si>
  <si>
    <t>-3</t>
  </si>
  <si>
    <t>-2</t>
  </si>
  <si>
    <t>-1</t>
  </si>
  <si>
    <t xml:space="preserve">Riznychenko  </t>
  </si>
  <si>
    <t>Shilo  3/1</t>
  </si>
  <si>
    <t>Singeorzan  3/0</t>
  </si>
  <si>
    <t>Martinko 3/0</t>
  </si>
  <si>
    <t>Peko  3/0</t>
  </si>
  <si>
    <t>Davnarovich 3/0</t>
  </si>
  <si>
    <t>Shusterman   3/0</t>
  </si>
  <si>
    <t>Schlie  3/0</t>
  </si>
  <si>
    <t>Karamazin   3/0</t>
  </si>
  <si>
    <t>Genin   3/1</t>
  </si>
  <si>
    <t>Wiltschka  3/0</t>
  </si>
  <si>
    <t>Ševec    3/0</t>
  </si>
  <si>
    <t>Zelinka  3/0</t>
  </si>
  <si>
    <t>Baruch  3/0</t>
  </si>
  <si>
    <t>Reho   3/1</t>
  </si>
  <si>
    <t>Lapčík</t>
  </si>
  <si>
    <t>Riznychenko  3/0</t>
  </si>
  <si>
    <t>Martinko  3/0</t>
  </si>
  <si>
    <t>Davnarovich  3/1</t>
  </si>
  <si>
    <t>Schlie   3/1</t>
  </si>
  <si>
    <t>Genin   3/0</t>
  </si>
  <si>
    <t>Ševec  3/0</t>
  </si>
  <si>
    <t>Baruch     3/0</t>
  </si>
  <si>
    <t>Lapčík   3/0</t>
  </si>
  <si>
    <t>Riznychenko  3/2</t>
  </si>
  <si>
    <t>Schlie 3/2</t>
  </si>
  <si>
    <t>Ševec   3/2</t>
  </si>
  <si>
    <t>Riznychenko 3/1</t>
  </si>
  <si>
    <t>Lapčík  3/0</t>
  </si>
  <si>
    <t>Riznychenko   3/2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</si>
</sst>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/yy"/>
    <numFmt numFmtId="173" formatCode="m/yy"/>
    <numFmt numFmtId="174" formatCode="d/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</numFmts>
  <fonts count="5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1"/>
    </font>
    <font>
      <b/>
      <sz val="10"/>
      <name val="Arial CE"/>
      <family val="2"/>
    </font>
    <font>
      <b/>
      <i/>
      <sz val="14"/>
      <name val="Times New Roman CE"/>
      <family val="1"/>
    </font>
    <font>
      <b/>
      <sz val="12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9" fillId="33" borderId="37" xfId="0" applyNumberFormat="1" applyFont="1" applyFill="1" applyBorder="1" applyAlignment="1">
      <alignment/>
    </xf>
    <xf numFmtId="49" fontId="9" fillId="33" borderId="38" xfId="0" applyNumberFormat="1" applyFont="1" applyFill="1" applyBorder="1" applyAlignment="1">
      <alignment/>
    </xf>
    <xf numFmtId="49" fontId="9" fillId="33" borderId="39" xfId="0" applyNumberFormat="1" applyFont="1" applyFill="1" applyBorder="1" applyAlignment="1">
      <alignment/>
    </xf>
    <xf numFmtId="49" fontId="9" fillId="33" borderId="4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9" fillId="33" borderId="41" xfId="0" applyNumberFormat="1" applyFont="1" applyFill="1" applyBorder="1" applyAlignment="1">
      <alignment/>
    </xf>
    <xf numFmtId="49" fontId="9" fillId="33" borderId="42" xfId="0" applyNumberFormat="1" applyFont="1" applyFill="1" applyBorder="1" applyAlignment="1">
      <alignment/>
    </xf>
    <xf numFmtId="49" fontId="9" fillId="33" borderId="19" xfId="0" applyNumberFormat="1" applyFont="1" applyFill="1" applyBorder="1" applyAlignment="1">
      <alignment/>
    </xf>
    <xf numFmtId="49" fontId="9" fillId="33" borderId="43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5" fillId="0" borderId="21" xfId="47" applyFont="1" applyFill="1" applyBorder="1">
      <alignment/>
      <protection/>
    </xf>
    <xf numFmtId="0" fontId="15" fillId="0" borderId="21" xfId="47" applyFont="1" applyFill="1" applyBorder="1">
      <alignment/>
      <protection/>
    </xf>
    <xf numFmtId="0" fontId="15" fillId="0" borderId="21" xfId="47" applyFont="1" applyBorder="1">
      <alignment/>
      <protection/>
    </xf>
    <xf numFmtId="0" fontId="15" fillId="0" borderId="21" xfId="47" applyFont="1" applyBorder="1">
      <alignment/>
      <protection/>
    </xf>
    <xf numFmtId="0" fontId="15" fillId="0" borderId="21" xfId="47" applyFont="1" applyFill="1" applyBorder="1">
      <alignment/>
      <protection/>
    </xf>
    <xf numFmtId="0" fontId="0" fillId="0" borderId="21" xfId="0" applyFont="1" applyBorder="1" applyAlignment="1">
      <alignment/>
    </xf>
    <xf numFmtId="0" fontId="15" fillId="0" borderId="21" xfId="47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66</xdr:row>
      <xdr:rowOff>0</xdr:rowOff>
    </xdr:from>
    <xdr:to>
      <xdr:col>7</xdr:col>
      <xdr:colOff>1476375</xdr:colOff>
      <xdr:row>66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110109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66</xdr:row>
      <xdr:rowOff>0</xdr:rowOff>
    </xdr:from>
    <xdr:to>
      <xdr:col>7</xdr:col>
      <xdr:colOff>1352550</xdr:colOff>
      <xdr:row>66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10109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66</xdr:row>
      <xdr:rowOff>0</xdr:rowOff>
    </xdr:from>
    <xdr:to>
      <xdr:col>7</xdr:col>
      <xdr:colOff>1343025</xdr:colOff>
      <xdr:row>66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66</xdr:row>
      <xdr:rowOff>0</xdr:rowOff>
    </xdr:from>
    <xdr:to>
      <xdr:col>7</xdr:col>
      <xdr:colOff>1476375</xdr:colOff>
      <xdr:row>66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110109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66</xdr:row>
      <xdr:rowOff>0</xdr:rowOff>
    </xdr:from>
    <xdr:to>
      <xdr:col>7</xdr:col>
      <xdr:colOff>1352550</xdr:colOff>
      <xdr:row>66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10109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66</xdr:row>
      <xdr:rowOff>0</xdr:rowOff>
    </xdr:from>
    <xdr:to>
      <xdr:col>7</xdr:col>
      <xdr:colOff>1343025</xdr:colOff>
      <xdr:row>66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8.00390625" style="0" customWidth="1"/>
    <col min="2" max="2" width="6.125" style="0" customWidth="1"/>
  </cols>
  <sheetData>
    <row r="1" spans="1:3" ht="12.75">
      <c r="A1" t="s">
        <v>85</v>
      </c>
      <c r="C1" t="s">
        <v>86</v>
      </c>
    </row>
    <row r="2" ht="12.75">
      <c r="C2" t="s">
        <v>87</v>
      </c>
    </row>
    <row r="3" spans="1:3" ht="12.75">
      <c r="A3" t="s">
        <v>88</v>
      </c>
      <c r="C3" t="s">
        <v>97</v>
      </c>
    </row>
    <row r="4" ht="12.75">
      <c r="C4" t="s">
        <v>98</v>
      </c>
    </row>
    <row r="5" ht="12.75">
      <c r="A5" t="s">
        <v>89</v>
      </c>
    </row>
    <row r="6" spans="1:3" ht="12.75">
      <c r="A6" s="71" t="s">
        <v>27</v>
      </c>
      <c r="C6" s="71" t="s">
        <v>107</v>
      </c>
    </row>
    <row r="7" spans="1:4" ht="12.75">
      <c r="A7" s="71" t="s">
        <v>28</v>
      </c>
      <c r="C7" s="79" t="s">
        <v>108</v>
      </c>
      <c r="D7" s="72"/>
    </row>
    <row r="8" spans="1:3" ht="12.75">
      <c r="A8" s="71" t="s">
        <v>29</v>
      </c>
      <c r="C8" s="71" t="s">
        <v>109</v>
      </c>
    </row>
    <row r="9" spans="1:3" ht="12.75">
      <c r="A9" s="71" t="s">
        <v>96</v>
      </c>
      <c r="C9" s="71">
        <f>COUNTA(seznam!B2:B257)</f>
        <v>55</v>
      </c>
    </row>
    <row r="11" ht="12.75">
      <c r="A11" s="71" t="s">
        <v>75</v>
      </c>
    </row>
    <row r="12" ht="12.75">
      <c r="A12" s="71" t="s">
        <v>105</v>
      </c>
    </row>
    <row r="13" ht="12.75">
      <c r="A13" s="71" t="s">
        <v>106</v>
      </c>
    </row>
    <row r="14" ht="15.75">
      <c r="A14" s="78" t="s">
        <v>32</v>
      </c>
    </row>
    <row r="15" spans="1:2" ht="12.75">
      <c r="A15" t="s">
        <v>33</v>
      </c>
      <c r="B15" t="s">
        <v>34</v>
      </c>
    </row>
    <row r="16" ht="12.75">
      <c r="B16" s="71" t="s">
        <v>38</v>
      </c>
    </row>
    <row r="17" ht="12.75">
      <c r="B17" s="71" t="s">
        <v>81</v>
      </c>
    </row>
    <row r="18" ht="12.75">
      <c r="B18" t="s">
        <v>84</v>
      </c>
    </row>
    <row r="19" spans="1:2" ht="12.75">
      <c r="A19" t="s">
        <v>35</v>
      </c>
      <c r="B19" s="71" t="s">
        <v>76</v>
      </c>
    </row>
    <row r="20" ht="12.75">
      <c r="B20" t="s">
        <v>36</v>
      </c>
    </row>
    <row r="21" spans="1:2" ht="12.75">
      <c r="A21" t="s">
        <v>37</v>
      </c>
      <c r="B21" t="s">
        <v>92</v>
      </c>
    </row>
    <row r="22" ht="12.75">
      <c r="B22" t="s">
        <v>77</v>
      </c>
    </row>
    <row r="23" ht="12.75">
      <c r="B23" s="71" t="s">
        <v>78</v>
      </c>
    </row>
    <row r="24" ht="12.75">
      <c r="B24" s="71" t="s">
        <v>39</v>
      </c>
    </row>
    <row r="25" ht="12.75">
      <c r="B25" s="71" t="s">
        <v>90</v>
      </c>
    </row>
    <row r="26" spans="1:2" ht="12.75">
      <c r="A26" t="s">
        <v>40</v>
      </c>
      <c r="B26" t="s">
        <v>41</v>
      </c>
    </row>
    <row r="27" ht="12.75">
      <c r="B27" t="s">
        <v>42</v>
      </c>
    </row>
    <row r="28" ht="12.75">
      <c r="B28" t="s">
        <v>91</v>
      </c>
    </row>
    <row r="29" ht="12.75">
      <c r="B29" s="71" t="s">
        <v>99</v>
      </c>
    </row>
    <row r="30" ht="12.75">
      <c r="B30" s="71" t="s">
        <v>100</v>
      </c>
    </row>
    <row r="31" ht="12.75">
      <c r="B31" s="71" t="s">
        <v>93</v>
      </c>
    </row>
    <row r="32" ht="12.75">
      <c r="B32" s="71" t="s">
        <v>94</v>
      </c>
    </row>
    <row r="33" ht="12.75">
      <c r="B33" t="s">
        <v>43</v>
      </c>
    </row>
    <row r="34" spans="1:2" ht="12.75">
      <c r="A34" t="s">
        <v>44</v>
      </c>
      <c r="B34" t="s">
        <v>45</v>
      </c>
    </row>
    <row r="35" ht="12.75">
      <c r="B35" s="71" t="s">
        <v>78</v>
      </c>
    </row>
    <row r="36" ht="12.75">
      <c r="B36" s="71" t="s">
        <v>101</v>
      </c>
    </row>
    <row r="37" ht="12.75">
      <c r="B37" s="71" t="s">
        <v>102</v>
      </c>
    </row>
    <row r="38" ht="12.75">
      <c r="B38" t="s">
        <v>103</v>
      </c>
    </row>
    <row r="39" ht="12.75">
      <c r="B39" t="s">
        <v>104</v>
      </c>
    </row>
    <row r="40" ht="12.75">
      <c r="B40" s="71" t="s">
        <v>46</v>
      </c>
    </row>
    <row r="41" spans="1:2" ht="12.75">
      <c r="A41" t="s">
        <v>47</v>
      </c>
      <c r="B41" t="s">
        <v>48</v>
      </c>
    </row>
    <row r="42" spans="1:2" ht="12.75">
      <c r="A42" t="s">
        <v>49</v>
      </c>
      <c r="B42" t="s">
        <v>50</v>
      </c>
    </row>
    <row r="43" ht="12.75">
      <c r="B43" s="71" t="s">
        <v>78</v>
      </c>
    </row>
    <row r="44" spans="1:2" ht="12.75">
      <c r="A44" t="s">
        <v>51</v>
      </c>
      <c r="B44" t="s">
        <v>52</v>
      </c>
    </row>
    <row r="45" ht="12.75">
      <c r="B45" t="s">
        <v>53</v>
      </c>
    </row>
    <row r="46" spans="1:2" ht="12.75">
      <c r="A46" t="s">
        <v>55</v>
      </c>
      <c r="B46" t="s">
        <v>56</v>
      </c>
    </row>
    <row r="47" ht="12.75">
      <c r="B47" t="s">
        <v>54</v>
      </c>
    </row>
    <row r="48" spans="1:2" ht="12.75">
      <c r="A48" t="s">
        <v>57</v>
      </c>
      <c r="B48" t="s">
        <v>58</v>
      </c>
    </row>
    <row r="49" ht="12.75">
      <c r="B49" t="s">
        <v>53</v>
      </c>
    </row>
    <row r="50" spans="1:2" ht="12.75">
      <c r="A50" t="s">
        <v>59</v>
      </c>
      <c r="B50" t="s">
        <v>60</v>
      </c>
    </row>
    <row r="51" ht="12.75">
      <c r="B51" s="71" t="s">
        <v>83</v>
      </c>
    </row>
    <row r="52" spans="1:2" ht="12.75">
      <c r="A52" t="s">
        <v>61</v>
      </c>
      <c r="B52" t="s">
        <v>62</v>
      </c>
    </row>
    <row r="53" ht="12.75">
      <c r="B53" t="s">
        <v>53</v>
      </c>
    </row>
    <row r="54" spans="1:2" ht="12.75">
      <c r="A54" t="s">
        <v>63</v>
      </c>
      <c r="B54" t="s">
        <v>64</v>
      </c>
    </row>
    <row r="55" ht="12.75">
      <c r="B55" s="71" t="s">
        <v>79</v>
      </c>
    </row>
    <row r="56" spans="1:2" ht="12.75">
      <c r="A56" t="s">
        <v>17</v>
      </c>
      <c r="B56" t="s">
        <v>65</v>
      </c>
    </row>
    <row r="57" ht="12.75">
      <c r="B57" s="71" t="s">
        <v>66</v>
      </c>
    </row>
    <row r="58" ht="12.75">
      <c r="B58" t="s">
        <v>67</v>
      </c>
    </row>
    <row r="59" ht="12.75">
      <c r="B59" t="s">
        <v>68</v>
      </c>
    </row>
    <row r="60" spans="1:2" ht="12.75">
      <c r="A60" t="s">
        <v>69</v>
      </c>
      <c r="B60" t="s">
        <v>70</v>
      </c>
    </row>
    <row r="61" ht="12.75">
      <c r="B61" s="71" t="s">
        <v>80</v>
      </c>
    </row>
    <row r="62" spans="1:2" ht="12.75">
      <c r="A62" t="s">
        <v>71</v>
      </c>
      <c r="B62" t="s">
        <v>72</v>
      </c>
    </row>
    <row r="63" spans="1:2" ht="12.75">
      <c r="A63" t="s">
        <v>73</v>
      </c>
      <c r="B63" t="s">
        <v>74</v>
      </c>
    </row>
  </sheetData>
  <sheetProtection/>
  <printOptions/>
  <pageMargins left="0.1968503937007874" right="0.1968503937007874" top="0.1968503937007874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19">
      <selection activeCell="B27" sqref="B27:E27"/>
    </sheetView>
  </sheetViews>
  <sheetFormatPr defaultColWidth="9.00390625" defaultRowHeight="12.75"/>
  <cols>
    <col min="1" max="1" width="4.625" style="50" bestFit="1" customWidth="1"/>
    <col min="2" max="2" width="17.375" style="50" bestFit="1" customWidth="1"/>
    <col min="3" max="3" width="7.00390625" style="50" bestFit="1" customWidth="1"/>
    <col min="4" max="4" width="22.25390625" style="50" bestFit="1" customWidth="1"/>
    <col min="5" max="5" width="7.875" style="50" bestFit="1" customWidth="1"/>
    <col min="6" max="16384" width="9.125" style="50" customWidth="1"/>
  </cols>
  <sheetData>
    <row r="1" spans="1:5" ht="10.5">
      <c r="A1" s="50" t="s">
        <v>17</v>
      </c>
      <c r="B1" s="50" t="s">
        <v>12</v>
      </c>
      <c r="C1" s="50" t="s">
        <v>26</v>
      </c>
      <c r="D1" s="50" t="s">
        <v>13</v>
      </c>
      <c r="E1" s="50" t="s">
        <v>31</v>
      </c>
    </row>
    <row r="2" spans="1:5" ht="12.75">
      <c r="A2" s="54">
        <v>1</v>
      </c>
      <c r="B2" s="80" t="s">
        <v>110</v>
      </c>
      <c r="C2" s="80">
        <v>2000</v>
      </c>
      <c r="D2" s="80" t="s">
        <v>111</v>
      </c>
      <c r="E2" s="51">
        <v>999</v>
      </c>
    </row>
    <row r="3" spans="1:5" ht="12.75">
      <c r="A3" s="54">
        <v>2</v>
      </c>
      <c r="B3" s="81" t="s">
        <v>112</v>
      </c>
      <c r="C3" s="81">
        <v>2000</v>
      </c>
      <c r="D3" s="82" t="s">
        <v>111</v>
      </c>
      <c r="E3" s="51">
        <v>999</v>
      </c>
    </row>
    <row r="4" spans="1:5" ht="12.75">
      <c r="A4" s="54">
        <v>3</v>
      </c>
      <c r="B4" s="81" t="s">
        <v>113</v>
      </c>
      <c r="C4" s="81">
        <v>2001</v>
      </c>
      <c r="D4" s="82" t="s">
        <v>111</v>
      </c>
      <c r="E4" s="51">
        <v>999</v>
      </c>
    </row>
    <row r="5" spans="1:5" ht="12.75">
      <c r="A5" s="54">
        <v>4</v>
      </c>
      <c r="B5" s="82" t="s">
        <v>114</v>
      </c>
      <c r="C5" s="82">
        <v>2001</v>
      </c>
      <c r="D5" s="82" t="s">
        <v>115</v>
      </c>
      <c r="E5" s="51">
        <v>999</v>
      </c>
    </row>
    <row r="6" spans="1:5" ht="12.75">
      <c r="A6" s="54">
        <v>5</v>
      </c>
      <c r="B6" s="80" t="s">
        <v>116</v>
      </c>
      <c r="C6" s="80">
        <v>2000</v>
      </c>
      <c r="D6" s="80" t="s">
        <v>117</v>
      </c>
      <c r="E6" s="51">
        <v>999</v>
      </c>
    </row>
    <row r="7" spans="1:5" ht="12.75">
      <c r="A7" s="54">
        <v>6</v>
      </c>
      <c r="B7" s="82" t="s">
        <v>118</v>
      </c>
      <c r="C7" s="82">
        <v>2000</v>
      </c>
      <c r="D7" s="82" t="s">
        <v>119</v>
      </c>
      <c r="E7" s="51">
        <v>999</v>
      </c>
    </row>
    <row r="8" spans="1:5" ht="12.75">
      <c r="A8" s="54">
        <v>7</v>
      </c>
      <c r="B8" s="80"/>
      <c r="C8" s="80"/>
      <c r="D8" s="80"/>
      <c r="E8" s="51">
        <v>999</v>
      </c>
    </row>
    <row r="9" spans="1:5" ht="12.75">
      <c r="A9" s="54">
        <v>8</v>
      </c>
      <c r="B9" s="81" t="s">
        <v>120</v>
      </c>
      <c r="C9" s="81">
        <v>2001</v>
      </c>
      <c r="D9" s="82" t="s">
        <v>121</v>
      </c>
      <c r="E9" s="51">
        <v>999</v>
      </c>
    </row>
    <row r="10" spans="1:5" ht="12.75">
      <c r="A10" s="54">
        <v>9</v>
      </c>
      <c r="B10" s="80" t="s">
        <v>122</v>
      </c>
      <c r="C10" s="80">
        <v>2001</v>
      </c>
      <c r="D10" s="80" t="s">
        <v>123</v>
      </c>
      <c r="E10" s="51">
        <v>999</v>
      </c>
    </row>
    <row r="11" spans="1:5" ht="12.75">
      <c r="A11" s="54">
        <v>10</v>
      </c>
      <c r="B11" s="80" t="s">
        <v>124</v>
      </c>
      <c r="C11" s="80">
        <v>1999</v>
      </c>
      <c r="D11" s="80" t="s">
        <v>123</v>
      </c>
      <c r="E11" s="51">
        <v>999</v>
      </c>
    </row>
    <row r="12" spans="1:5" ht="12.75">
      <c r="A12" s="54">
        <v>11</v>
      </c>
      <c r="B12" s="82" t="s">
        <v>125</v>
      </c>
      <c r="C12" s="82">
        <v>1999</v>
      </c>
      <c r="D12" s="82" t="s">
        <v>126</v>
      </c>
      <c r="E12" s="51">
        <v>999</v>
      </c>
    </row>
    <row r="13" spans="1:5" ht="12.75">
      <c r="A13" s="54">
        <v>12</v>
      </c>
      <c r="B13" s="80"/>
      <c r="C13" s="80"/>
      <c r="D13" s="80"/>
      <c r="E13" s="51">
        <v>999</v>
      </c>
    </row>
    <row r="14" spans="1:5" ht="12.75">
      <c r="A14" s="54">
        <v>13</v>
      </c>
      <c r="B14" s="81" t="s">
        <v>127</v>
      </c>
      <c r="C14" s="81">
        <v>2001</v>
      </c>
      <c r="D14" s="82" t="s">
        <v>128</v>
      </c>
      <c r="E14" s="51">
        <v>999</v>
      </c>
    </row>
    <row r="15" spans="1:5" ht="12.75">
      <c r="A15" s="54">
        <v>14</v>
      </c>
      <c r="B15" s="81" t="s">
        <v>129</v>
      </c>
      <c r="C15" s="81">
        <v>2000</v>
      </c>
      <c r="D15" s="82" t="s">
        <v>128</v>
      </c>
      <c r="E15" s="51">
        <v>999</v>
      </c>
    </row>
    <row r="16" spans="1:5" ht="12.75">
      <c r="A16" s="54">
        <v>15</v>
      </c>
      <c r="B16" s="81" t="s">
        <v>130</v>
      </c>
      <c r="C16" s="81">
        <v>1999</v>
      </c>
      <c r="D16" s="82" t="s">
        <v>128</v>
      </c>
      <c r="E16" s="51">
        <v>999</v>
      </c>
    </row>
    <row r="17" spans="1:5" ht="12.75">
      <c r="A17" s="54">
        <v>16</v>
      </c>
      <c r="B17" s="82" t="s">
        <v>131</v>
      </c>
      <c r="C17" s="82">
        <v>1999</v>
      </c>
      <c r="D17" s="82" t="s">
        <v>128</v>
      </c>
      <c r="E17" s="51">
        <v>999</v>
      </c>
    </row>
    <row r="18" spans="1:5" ht="12.75">
      <c r="A18" s="54">
        <v>17</v>
      </c>
      <c r="B18" s="81" t="s">
        <v>132</v>
      </c>
      <c r="C18" s="81">
        <v>2000</v>
      </c>
      <c r="D18" s="82" t="s">
        <v>128</v>
      </c>
      <c r="E18" s="51">
        <v>999</v>
      </c>
    </row>
    <row r="19" spans="1:5" ht="12.75">
      <c r="A19" s="54">
        <v>18</v>
      </c>
      <c r="B19" s="83" t="s">
        <v>133</v>
      </c>
      <c r="C19" s="83">
        <v>2000</v>
      </c>
      <c r="D19" s="82" t="s">
        <v>128</v>
      </c>
      <c r="E19" s="51">
        <v>999</v>
      </c>
    </row>
    <row r="20" spans="1:5" ht="12.75">
      <c r="A20" s="54">
        <v>19</v>
      </c>
      <c r="B20" s="82" t="s">
        <v>134</v>
      </c>
      <c r="C20" s="82">
        <v>1999</v>
      </c>
      <c r="D20" s="82" t="s">
        <v>128</v>
      </c>
      <c r="E20" s="51">
        <v>999</v>
      </c>
    </row>
    <row r="21" spans="1:5" ht="12.75">
      <c r="A21" s="54">
        <v>20</v>
      </c>
      <c r="B21" s="82" t="s">
        <v>135</v>
      </c>
      <c r="C21" s="82">
        <v>1999</v>
      </c>
      <c r="D21" s="82" t="s">
        <v>128</v>
      </c>
      <c r="E21" s="51">
        <v>999</v>
      </c>
    </row>
    <row r="22" spans="1:5" ht="12.75">
      <c r="A22" s="54">
        <v>21</v>
      </c>
      <c r="B22" s="82" t="s">
        <v>136</v>
      </c>
      <c r="C22" s="82">
        <v>1999</v>
      </c>
      <c r="D22" s="82" t="s">
        <v>128</v>
      </c>
      <c r="E22" s="51">
        <v>999</v>
      </c>
    </row>
    <row r="23" spans="1:5" ht="12.75">
      <c r="A23" s="54">
        <v>22</v>
      </c>
      <c r="B23" s="81" t="s">
        <v>137</v>
      </c>
      <c r="C23" s="81">
        <v>1999</v>
      </c>
      <c r="D23" s="82" t="s">
        <v>138</v>
      </c>
      <c r="E23" s="51">
        <v>999</v>
      </c>
    </row>
    <row r="24" spans="1:5" ht="12.75">
      <c r="A24" s="54">
        <v>23</v>
      </c>
      <c r="B24" s="80" t="s">
        <v>139</v>
      </c>
      <c r="C24" s="80">
        <v>2000</v>
      </c>
      <c r="D24" s="80" t="s">
        <v>140</v>
      </c>
      <c r="E24" s="51">
        <v>999</v>
      </c>
    </row>
    <row r="25" spans="1:5" ht="12.75">
      <c r="A25" s="54">
        <v>24</v>
      </c>
      <c r="B25" s="80" t="s">
        <v>141</v>
      </c>
      <c r="C25" s="80">
        <v>2000</v>
      </c>
      <c r="D25" s="80" t="s">
        <v>140</v>
      </c>
      <c r="E25" s="51">
        <v>999</v>
      </c>
    </row>
    <row r="26" spans="1:5" ht="12.75">
      <c r="A26" s="54">
        <v>25</v>
      </c>
      <c r="B26" s="80" t="s">
        <v>142</v>
      </c>
      <c r="C26" s="80">
        <v>1999</v>
      </c>
      <c r="D26" s="80" t="s">
        <v>143</v>
      </c>
      <c r="E26" s="51">
        <v>999</v>
      </c>
    </row>
    <row r="27" spans="1:5" ht="12.75">
      <c r="A27" s="54">
        <v>26</v>
      </c>
      <c r="B27" s="81" t="s">
        <v>144</v>
      </c>
      <c r="C27" s="81">
        <v>2000</v>
      </c>
      <c r="D27" s="82" t="s">
        <v>145</v>
      </c>
      <c r="E27" s="51">
        <v>999</v>
      </c>
    </row>
    <row r="28" spans="1:5" ht="12.75">
      <c r="A28" s="54">
        <v>27</v>
      </c>
      <c r="B28" s="80" t="s">
        <v>146</v>
      </c>
      <c r="C28" s="80">
        <v>2002</v>
      </c>
      <c r="D28" s="80" t="s">
        <v>147</v>
      </c>
      <c r="E28" s="51">
        <v>999</v>
      </c>
    </row>
    <row r="29" spans="1:5" ht="12.75">
      <c r="A29" s="54">
        <v>28</v>
      </c>
      <c r="B29" s="81" t="s">
        <v>148</v>
      </c>
      <c r="C29" s="81">
        <v>2000</v>
      </c>
      <c r="D29" s="81" t="s">
        <v>149</v>
      </c>
      <c r="E29" s="51">
        <v>999</v>
      </c>
    </row>
    <row r="30" spans="1:5" ht="12.75">
      <c r="A30" s="54">
        <v>29</v>
      </c>
      <c r="B30" s="84" t="s">
        <v>150</v>
      </c>
      <c r="C30" s="84">
        <v>1999</v>
      </c>
      <c r="D30" s="83" t="s">
        <v>151</v>
      </c>
      <c r="E30" s="51">
        <v>999</v>
      </c>
    </row>
    <row r="31" spans="1:5" ht="12.75">
      <c r="A31" s="54">
        <v>30</v>
      </c>
      <c r="B31" s="81" t="s">
        <v>152</v>
      </c>
      <c r="C31" s="81">
        <v>2000</v>
      </c>
      <c r="D31" s="81" t="s">
        <v>153</v>
      </c>
      <c r="E31" s="51">
        <v>999</v>
      </c>
    </row>
    <row r="32" spans="1:5" ht="12.75">
      <c r="A32" s="54">
        <v>31</v>
      </c>
      <c r="B32" s="81" t="s">
        <v>154</v>
      </c>
      <c r="C32" s="81">
        <v>2000</v>
      </c>
      <c r="D32" s="81" t="s">
        <v>153</v>
      </c>
      <c r="E32" s="51">
        <v>999</v>
      </c>
    </row>
    <row r="33" spans="1:5" ht="12.75">
      <c r="A33" s="54">
        <v>32</v>
      </c>
      <c r="B33" s="81" t="s">
        <v>155</v>
      </c>
      <c r="C33" s="81">
        <v>2001</v>
      </c>
      <c r="D33" s="81" t="s">
        <v>153</v>
      </c>
      <c r="E33" s="51">
        <v>999</v>
      </c>
    </row>
    <row r="34" spans="1:5" ht="12.75">
      <c r="A34" s="54">
        <v>33</v>
      </c>
      <c r="B34" s="83" t="s">
        <v>156</v>
      </c>
      <c r="C34" s="83">
        <v>1999</v>
      </c>
      <c r="D34" s="83" t="s">
        <v>157</v>
      </c>
      <c r="E34" s="51">
        <v>999</v>
      </c>
    </row>
    <row r="35" spans="1:5" ht="12.75">
      <c r="A35" s="54">
        <v>34</v>
      </c>
      <c r="B35" s="82" t="s">
        <v>158</v>
      </c>
      <c r="C35" s="82">
        <v>1999</v>
      </c>
      <c r="D35" s="82" t="s">
        <v>159</v>
      </c>
      <c r="E35" s="51">
        <v>999</v>
      </c>
    </row>
    <row r="36" spans="1:5" ht="12.75">
      <c r="A36" s="54">
        <v>35</v>
      </c>
      <c r="B36" s="80" t="s">
        <v>160</v>
      </c>
      <c r="C36" s="80">
        <v>1999</v>
      </c>
      <c r="D36" s="80" t="s">
        <v>161</v>
      </c>
      <c r="E36" s="51">
        <v>999</v>
      </c>
    </row>
    <row r="37" spans="1:5" ht="12.75">
      <c r="A37" s="54">
        <v>36</v>
      </c>
      <c r="B37" s="81" t="s">
        <v>162</v>
      </c>
      <c r="C37" s="81">
        <v>2000</v>
      </c>
      <c r="D37" s="81" t="s">
        <v>163</v>
      </c>
      <c r="E37" s="51">
        <v>999</v>
      </c>
    </row>
    <row r="38" spans="1:5" ht="12.75">
      <c r="A38" s="54">
        <v>37</v>
      </c>
      <c r="B38" s="81" t="s">
        <v>164</v>
      </c>
      <c r="C38" s="81">
        <v>2003</v>
      </c>
      <c r="D38" s="81" t="s">
        <v>165</v>
      </c>
      <c r="E38" s="51">
        <v>999</v>
      </c>
    </row>
    <row r="39" spans="1:5" ht="12.75">
      <c r="A39" s="54">
        <v>38</v>
      </c>
      <c r="B39" s="81" t="s">
        <v>166</v>
      </c>
      <c r="C39" s="81">
        <v>1999</v>
      </c>
      <c r="D39" s="81" t="s">
        <v>167</v>
      </c>
      <c r="E39" s="51">
        <v>999</v>
      </c>
    </row>
    <row r="40" spans="1:5" ht="12.75">
      <c r="A40" s="54">
        <v>39</v>
      </c>
      <c r="B40" s="83"/>
      <c r="C40" s="83"/>
      <c r="D40" s="83"/>
      <c r="E40" s="51">
        <v>999</v>
      </c>
    </row>
    <row r="41" spans="1:5" ht="12.75">
      <c r="A41" s="54">
        <v>40</v>
      </c>
      <c r="B41" s="81" t="s">
        <v>168</v>
      </c>
      <c r="C41" s="81">
        <v>2000</v>
      </c>
      <c r="D41" s="85" t="s">
        <v>169</v>
      </c>
      <c r="E41" s="51">
        <v>999</v>
      </c>
    </row>
    <row r="42" spans="1:5" ht="12.75">
      <c r="A42" s="54">
        <v>41</v>
      </c>
      <c r="B42" s="81"/>
      <c r="C42" s="81"/>
      <c r="D42" s="81"/>
      <c r="E42" s="51">
        <v>999</v>
      </c>
    </row>
    <row r="43" spans="1:5" ht="12.75">
      <c r="A43" s="54">
        <v>42</v>
      </c>
      <c r="B43" s="81" t="s">
        <v>170</v>
      </c>
      <c r="C43" s="81">
        <v>2000</v>
      </c>
      <c r="D43" s="81" t="s">
        <v>171</v>
      </c>
      <c r="E43" s="51">
        <v>999</v>
      </c>
    </row>
    <row r="44" spans="1:5" ht="12.75">
      <c r="A44" s="54">
        <v>43</v>
      </c>
      <c r="B44" s="81" t="s">
        <v>172</v>
      </c>
      <c r="C44" s="81">
        <v>2001</v>
      </c>
      <c r="D44" s="85" t="s">
        <v>173</v>
      </c>
      <c r="E44" s="51">
        <v>999</v>
      </c>
    </row>
    <row r="45" spans="1:5" ht="12.75">
      <c r="A45" s="54">
        <v>44</v>
      </c>
      <c r="B45" s="86" t="s">
        <v>174</v>
      </c>
      <c r="C45" s="83">
        <v>2000</v>
      </c>
      <c r="D45" s="83" t="s">
        <v>175</v>
      </c>
      <c r="E45" s="51">
        <v>999</v>
      </c>
    </row>
    <row r="46" spans="1:5" ht="12.75">
      <c r="A46" s="54">
        <v>45</v>
      </c>
      <c r="B46" s="81" t="s">
        <v>176</v>
      </c>
      <c r="C46" s="81">
        <v>2000</v>
      </c>
      <c r="D46" s="81" t="s">
        <v>177</v>
      </c>
      <c r="E46" s="51">
        <v>999</v>
      </c>
    </row>
    <row r="47" spans="1:5" ht="12.75">
      <c r="A47" s="54">
        <v>46</v>
      </c>
      <c r="B47" s="83" t="s">
        <v>178</v>
      </c>
      <c r="C47" s="83">
        <v>1999</v>
      </c>
      <c r="D47" s="83" t="s">
        <v>179</v>
      </c>
      <c r="E47" s="51">
        <v>999</v>
      </c>
    </row>
    <row r="48" spans="1:5" ht="12.75">
      <c r="A48" s="54">
        <v>47</v>
      </c>
      <c r="B48" s="84"/>
      <c r="C48" s="84"/>
      <c r="D48" s="83"/>
      <c r="E48" s="51">
        <v>999</v>
      </c>
    </row>
    <row r="49" spans="1:5" ht="12.75">
      <c r="A49" s="54">
        <v>48</v>
      </c>
      <c r="B49" s="81" t="s">
        <v>180</v>
      </c>
      <c r="C49" s="81">
        <v>2001</v>
      </c>
      <c r="D49" s="81" t="s">
        <v>181</v>
      </c>
      <c r="E49" s="51">
        <v>999</v>
      </c>
    </row>
    <row r="50" spans="1:5" ht="12.75">
      <c r="A50" s="54">
        <v>49</v>
      </c>
      <c r="B50" s="81"/>
      <c r="C50" s="81"/>
      <c r="D50" s="81"/>
      <c r="E50" s="51">
        <v>999</v>
      </c>
    </row>
    <row r="51" spans="1:5" ht="12.75">
      <c r="A51" s="54">
        <v>50</v>
      </c>
      <c r="B51" s="81"/>
      <c r="C51" s="81"/>
      <c r="D51" s="81"/>
      <c r="E51" s="51">
        <v>999</v>
      </c>
    </row>
    <row r="52" spans="1:5" ht="12.75">
      <c r="A52" s="54">
        <v>51</v>
      </c>
      <c r="B52" s="81" t="s">
        <v>183</v>
      </c>
      <c r="C52" s="81">
        <v>1999</v>
      </c>
      <c r="D52" s="81" t="s">
        <v>182</v>
      </c>
      <c r="E52" s="51">
        <v>999</v>
      </c>
    </row>
    <row r="53" spans="1:5" ht="12.75">
      <c r="A53" s="54">
        <v>52</v>
      </c>
      <c r="B53" s="83" t="s">
        <v>184</v>
      </c>
      <c r="C53" s="83">
        <v>1999</v>
      </c>
      <c r="D53" s="83" t="s">
        <v>185</v>
      </c>
      <c r="E53" s="51">
        <v>999</v>
      </c>
    </row>
    <row r="54" spans="1:5" ht="12.75">
      <c r="A54" s="54">
        <v>53</v>
      </c>
      <c r="B54" s="81" t="s">
        <v>186</v>
      </c>
      <c r="C54" s="81">
        <v>2000</v>
      </c>
      <c r="D54" s="81" t="s">
        <v>185</v>
      </c>
      <c r="E54" s="51">
        <v>999</v>
      </c>
    </row>
    <row r="55" spans="1:5" ht="12.75">
      <c r="A55" s="54">
        <v>54</v>
      </c>
      <c r="B55" s="81" t="s">
        <v>187</v>
      </c>
      <c r="C55" s="81">
        <v>2001</v>
      </c>
      <c r="D55" s="81" t="s">
        <v>185</v>
      </c>
      <c r="E55" s="51">
        <v>999</v>
      </c>
    </row>
    <row r="56" spans="1:5" ht="12.75">
      <c r="A56" s="54">
        <v>55</v>
      </c>
      <c r="B56" s="81" t="s">
        <v>188</v>
      </c>
      <c r="C56" s="81">
        <v>2002</v>
      </c>
      <c r="D56" s="81" t="s">
        <v>185</v>
      </c>
      <c r="E56" s="51">
        <v>999</v>
      </c>
    </row>
    <row r="57" spans="1:5" ht="12.75">
      <c r="A57" s="54">
        <v>56</v>
      </c>
      <c r="B57" s="84" t="s">
        <v>189</v>
      </c>
      <c r="C57" s="84">
        <v>2000</v>
      </c>
      <c r="D57" s="83" t="s">
        <v>190</v>
      </c>
      <c r="E57" s="51">
        <v>999</v>
      </c>
    </row>
    <row r="58" spans="1:5" ht="12.75">
      <c r="A58" s="54">
        <v>57</v>
      </c>
      <c r="B58" s="84" t="s">
        <v>191</v>
      </c>
      <c r="C58" s="84">
        <v>1999</v>
      </c>
      <c r="D58" s="83" t="s">
        <v>190</v>
      </c>
      <c r="E58" s="51">
        <v>999</v>
      </c>
    </row>
    <row r="59" spans="1:5" ht="12.75">
      <c r="A59" s="54">
        <v>58</v>
      </c>
      <c r="B59" s="84" t="s">
        <v>192</v>
      </c>
      <c r="C59" s="84">
        <v>1999</v>
      </c>
      <c r="D59" s="83" t="s">
        <v>190</v>
      </c>
      <c r="E59" s="51">
        <v>999</v>
      </c>
    </row>
    <row r="60" spans="1:5" ht="12.75">
      <c r="A60" s="54">
        <v>59</v>
      </c>
      <c r="B60" s="84" t="s">
        <v>193</v>
      </c>
      <c r="C60" s="84">
        <v>1999</v>
      </c>
      <c r="D60" s="83" t="s">
        <v>190</v>
      </c>
      <c r="E60" s="51">
        <v>999</v>
      </c>
    </row>
    <row r="61" spans="1:5" ht="10.5">
      <c r="A61" s="54">
        <v>60</v>
      </c>
      <c r="B61" s="50" t="s">
        <v>201</v>
      </c>
      <c r="C61" s="50">
        <v>1999</v>
      </c>
      <c r="D61" s="53" t="s">
        <v>202</v>
      </c>
      <c r="E61" s="51">
        <v>999</v>
      </c>
    </row>
    <row r="62" spans="1:5" ht="10.5">
      <c r="A62" s="54">
        <v>61</v>
      </c>
      <c r="B62" s="50" t="s">
        <v>203</v>
      </c>
      <c r="C62" s="50">
        <v>2001</v>
      </c>
      <c r="D62" s="53" t="s">
        <v>202</v>
      </c>
      <c r="E62" s="51">
        <v>999</v>
      </c>
    </row>
    <row r="63" spans="1:5" ht="10.5">
      <c r="A63" s="54">
        <v>62</v>
      </c>
      <c r="B63" s="50" t="s">
        <v>204</v>
      </c>
      <c r="C63" s="50">
        <v>1999</v>
      </c>
      <c r="D63" s="53" t="s">
        <v>202</v>
      </c>
      <c r="E63" s="51">
        <v>999</v>
      </c>
    </row>
    <row r="64" spans="1:5" ht="10.5">
      <c r="A64" s="54">
        <v>63</v>
      </c>
      <c r="D64" s="53"/>
      <c r="E64" s="51">
        <v>999</v>
      </c>
    </row>
    <row r="65" spans="1:5" ht="10.5">
      <c r="A65" s="54">
        <v>64</v>
      </c>
      <c r="D65" s="53"/>
      <c r="E65" s="51">
        <v>999</v>
      </c>
    </row>
    <row r="66" spans="1:5" ht="10.5">
      <c r="A66" s="54">
        <v>65</v>
      </c>
      <c r="D66" s="53"/>
      <c r="E66" s="51">
        <v>999</v>
      </c>
    </row>
    <row r="67" spans="1:5" ht="10.5">
      <c r="A67" s="54">
        <v>66</v>
      </c>
      <c r="D67" s="53"/>
      <c r="E67" s="51">
        <v>999</v>
      </c>
    </row>
    <row r="68" spans="1:5" ht="10.5">
      <c r="A68" s="54">
        <v>67</v>
      </c>
      <c r="D68" s="53"/>
      <c r="E68" s="51">
        <v>999</v>
      </c>
    </row>
    <row r="69" spans="1:5" ht="10.5">
      <c r="A69" s="54">
        <v>68</v>
      </c>
      <c r="D69" s="53"/>
      <c r="E69" s="51">
        <v>999</v>
      </c>
    </row>
    <row r="70" spans="1:5" ht="10.5">
      <c r="A70" s="54">
        <v>69</v>
      </c>
      <c r="D70" s="53"/>
      <c r="E70" s="51">
        <v>999</v>
      </c>
    </row>
    <row r="71" spans="1:5" ht="10.5">
      <c r="A71" s="54">
        <v>70</v>
      </c>
      <c r="D71" s="53"/>
      <c r="E71" s="51">
        <v>999</v>
      </c>
    </row>
    <row r="72" spans="1:5" ht="10.5">
      <c r="A72" s="54">
        <v>71</v>
      </c>
      <c r="D72" s="53"/>
      <c r="E72" s="51">
        <v>999</v>
      </c>
    </row>
    <row r="73" spans="1:5" ht="10.5">
      <c r="A73" s="54">
        <v>72</v>
      </c>
      <c r="D73" s="53"/>
      <c r="E73" s="51">
        <v>999</v>
      </c>
    </row>
    <row r="74" spans="1:5" ht="10.5">
      <c r="A74" s="54">
        <v>73</v>
      </c>
      <c r="D74" s="53"/>
      <c r="E74" s="51">
        <v>999</v>
      </c>
    </row>
    <row r="75" spans="1:5" ht="10.5">
      <c r="A75" s="54">
        <v>74</v>
      </c>
      <c r="D75" s="52"/>
      <c r="E75" s="51">
        <v>999</v>
      </c>
    </row>
    <row r="76" spans="1:5" ht="10.5">
      <c r="A76" s="54">
        <v>75</v>
      </c>
      <c r="D76" s="53"/>
      <c r="E76" s="51">
        <v>999</v>
      </c>
    </row>
    <row r="77" spans="1:5" ht="10.5">
      <c r="A77" s="54">
        <v>76</v>
      </c>
      <c r="D77" s="53"/>
      <c r="E77" s="51">
        <v>999</v>
      </c>
    </row>
    <row r="78" spans="1:5" ht="10.5">
      <c r="A78" s="54">
        <v>77</v>
      </c>
      <c r="D78" s="53"/>
      <c r="E78" s="51">
        <v>999</v>
      </c>
    </row>
    <row r="79" spans="1:5" ht="10.5">
      <c r="A79" s="54">
        <v>78</v>
      </c>
      <c r="D79" s="53"/>
      <c r="E79" s="51">
        <v>999</v>
      </c>
    </row>
    <row r="80" spans="1:5" ht="10.5">
      <c r="A80" s="54">
        <v>79</v>
      </c>
      <c r="D80" s="53"/>
      <c r="E80" s="51">
        <v>999</v>
      </c>
    </row>
    <row r="81" spans="1:5" ht="10.5">
      <c r="A81" s="54">
        <v>80</v>
      </c>
      <c r="B81" s="51"/>
      <c r="C81" s="51"/>
      <c r="D81" s="53"/>
      <c r="E81" s="51">
        <v>999</v>
      </c>
    </row>
    <row r="82" spans="1:5" ht="10.5">
      <c r="A82" s="54">
        <v>81</v>
      </c>
      <c r="D82" s="53"/>
      <c r="E82" s="51">
        <v>999</v>
      </c>
    </row>
    <row r="83" spans="1:5" ht="10.5">
      <c r="A83" s="54">
        <v>82</v>
      </c>
      <c r="D83" s="53"/>
      <c r="E83" s="51">
        <v>999</v>
      </c>
    </row>
    <row r="84" spans="1:5" ht="10.5">
      <c r="A84" s="54">
        <v>83</v>
      </c>
      <c r="D84" s="53"/>
      <c r="E84" s="51">
        <v>999</v>
      </c>
    </row>
    <row r="85" spans="1:5" ht="10.5">
      <c r="A85" s="54">
        <v>84</v>
      </c>
      <c r="D85" s="53"/>
      <c r="E85" s="51">
        <v>999</v>
      </c>
    </row>
    <row r="86" spans="1:5" ht="10.5">
      <c r="A86" s="54">
        <v>85</v>
      </c>
      <c r="D86" s="53"/>
      <c r="E86" s="51">
        <v>999</v>
      </c>
    </row>
    <row r="87" spans="1:5" ht="10.5">
      <c r="A87" s="54">
        <v>86</v>
      </c>
      <c r="D87" s="53"/>
      <c r="E87" s="51">
        <v>999</v>
      </c>
    </row>
    <row r="88" spans="1:5" ht="10.5">
      <c r="A88" s="54">
        <v>87</v>
      </c>
      <c r="D88" s="53"/>
      <c r="E88" s="51">
        <v>999</v>
      </c>
    </row>
    <row r="89" spans="1:5" ht="10.5">
      <c r="A89" s="54">
        <v>88</v>
      </c>
      <c r="D89" s="53"/>
      <c r="E89" s="51">
        <v>999</v>
      </c>
    </row>
    <row r="90" spans="1:5" ht="10.5">
      <c r="A90" s="54">
        <v>89</v>
      </c>
      <c r="D90" s="53"/>
      <c r="E90" s="51">
        <v>999</v>
      </c>
    </row>
    <row r="91" spans="1:5" ht="10.5">
      <c r="A91" s="54">
        <v>90</v>
      </c>
      <c r="D91" s="53"/>
      <c r="E91" s="51">
        <v>999</v>
      </c>
    </row>
    <row r="92" spans="1:5" ht="10.5">
      <c r="A92" s="54">
        <v>91</v>
      </c>
      <c r="D92" s="53"/>
      <c r="E92" s="51">
        <v>999</v>
      </c>
    </row>
    <row r="93" spans="1:5" ht="10.5">
      <c r="A93" s="54">
        <v>92</v>
      </c>
      <c r="D93" s="53"/>
      <c r="E93" s="51">
        <v>999</v>
      </c>
    </row>
    <row r="94" spans="1:5" ht="10.5">
      <c r="A94" s="54">
        <v>93</v>
      </c>
      <c r="D94" s="53"/>
      <c r="E94" s="51">
        <v>999</v>
      </c>
    </row>
    <row r="95" spans="1:5" ht="10.5">
      <c r="A95" s="54">
        <v>94</v>
      </c>
      <c r="D95" s="53"/>
      <c r="E95" s="51">
        <v>999</v>
      </c>
    </row>
    <row r="96" spans="1:5" ht="10.5">
      <c r="A96" s="54">
        <v>95</v>
      </c>
      <c r="D96" s="53"/>
      <c r="E96" s="51">
        <v>999</v>
      </c>
    </row>
    <row r="97" spans="1:5" ht="10.5">
      <c r="A97" s="54">
        <v>96</v>
      </c>
      <c r="D97" s="53"/>
      <c r="E97" s="51">
        <v>999</v>
      </c>
    </row>
    <row r="98" spans="1:5" ht="10.5">
      <c r="A98" s="54">
        <v>97</v>
      </c>
      <c r="D98" s="53"/>
      <c r="E98" s="51">
        <v>999</v>
      </c>
    </row>
    <row r="99" spans="1:5" ht="10.5">
      <c r="A99" s="54">
        <v>98</v>
      </c>
      <c r="D99" s="53"/>
      <c r="E99" s="51">
        <v>999</v>
      </c>
    </row>
    <row r="100" spans="1:5" ht="10.5">
      <c r="A100" s="54">
        <v>99</v>
      </c>
      <c r="D100" s="53"/>
      <c r="E100" s="51">
        <v>999</v>
      </c>
    </row>
    <row r="101" spans="1:5" ht="10.5">
      <c r="A101" s="54">
        <v>100</v>
      </c>
      <c r="D101" s="53"/>
      <c r="E101" s="51">
        <v>999</v>
      </c>
    </row>
    <row r="102" spans="1:5" ht="10.5">
      <c r="A102" s="54">
        <v>101</v>
      </c>
      <c r="D102" s="53"/>
      <c r="E102" s="51">
        <v>999</v>
      </c>
    </row>
    <row r="103" spans="1:5" ht="10.5">
      <c r="A103" s="54">
        <v>102</v>
      </c>
      <c r="D103" s="53"/>
      <c r="E103" s="51">
        <v>999</v>
      </c>
    </row>
    <row r="104" spans="1:5" ht="10.5">
      <c r="A104" s="54">
        <v>103</v>
      </c>
      <c r="D104" s="53"/>
      <c r="E104" s="51">
        <v>999</v>
      </c>
    </row>
    <row r="105" spans="1:5" ht="10.5">
      <c r="A105" s="54">
        <v>104</v>
      </c>
      <c r="D105" s="53"/>
      <c r="E105" s="51">
        <v>999</v>
      </c>
    </row>
    <row r="106" spans="1:5" ht="10.5">
      <c r="A106" s="54">
        <v>105</v>
      </c>
      <c r="D106" s="53"/>
      <c r="E106" s="51">
        <v>999</v>
      </c>
    </row>
    <row r="107" spans="1:5" ht="10.5">
      <c r="A107" s="54">
        <v>106</v>
      </c>
      <c r="D107" s="53"/>
      <c r="E107" s="51">
        <v>999</v>
      </c>
    </row>
    <row r="108" spans="1:5" ht="10.5">
      <c r="A108" s="54">
        <v>107</v>
      </c>
      <c r="D108" s="53"/>
      <c r="E108" s="51">
        <v>999</v>
      </c>
    </row>
    <row r="109" spans="1:5" ht="10.5">
      <c r="A109" s="54">
        <v>108</v>
      </c>
      <c r="D109" s="53"/>
      <c r="E109" s="51">
        <v>999</v>
      </c>
    </row>
    <row r="110" spans="1:5" ht="10.5">
      <c r="A110" s="54">
        <v>109</v>
      </c>
      <c r="D110" s="53"/>
      <c r="E110" s="51">
        <v>999</v>
      </c>
    </row>
    <row r="111" spans="1:5" ht="10.5">
      <c r="A111" s="54">
        <v>110</v>
      </c>
      <c r="D111" s="53"/>
      <c r="E111" s="51">
        <v>999</v>
      </c>
    </row>
    <row r="112" spans="1:5" ht="10.5">
      <c r="A112" s="54">
        <v>111</v>
      </c>
      <c r="D112" s="53"/>
      <c r="E112" s="51">
        <v>999</v>
      </c>
    </row>
    <row r="113" spans="1:5" ht="10.5">
      <c r="A113" s="54">
        <v>112</v>
      </c>
      <c r="D113" s="53"/>
      <c r="E113" s="51">
        <v>999</v>
      </c>
    </row>
    <row r="114" spans="1:5" ht="10.5">
      <c r="A114" s="54">
        <v>113</v>
      </c>
      <c r="D114" s="53"/>
      <c r="E114" s="51">
        <v>999</v>
      </c>
    </row>
    <row r="115" spans="1:5" ht="10.5">
      <c r="A115" s="54">
        <v>114</v>
      </c>
      <c r="D115" s="53"/>
      <c r="E115" s="51">
        <v>999</v>
      </c>
    </row>
    <row r="116" spans="1:5" ht="10.5">
      <c r="A116" s="54">
        <v>115</v>
      </c>
      <c r="D116" s="53"/>
      <c r="E116" s="51">
        <v>999</v>
      </c>
    </row>
    <row r="117" spans="1:5" ht="10.5">
      <c r="A117" s="54">
        <v>116</v>
      </c>
      <c r="D117" s="53"/>
      <c r="E117" s="51">
        <v>999</v>
      </c>
    </row>
    <row r="118" spans="1:5" ht="10.5">
      <c r="A118" s="54">
        <v>117</v>
      </c>
      <c r="D118" s="53"/>
      <c r="E118" s="51">
        <v>999</v>
      </c>
    </row>
    <row r="119" spans="1:5" ht="10.5">
      <c r="A119" s="54">
        <v>118</v>
      </c>
      <c r="D119" s="53"/>
      <c r="E119" s="51">
        <v>999</v>
      </c>
    </row>
    <row r="120" spans="1:5" ht="10.5">
      <c r="A120" s="54">
        <v>119</v>
      </c>
      <c r="D120" s="53"/>
      <c r="E120" s="51">
        <v>999</v>
      </c>
    </row>
    <row r="121" spans="1:5" ht="10.5">
      <c r="A121" s="54">
        <v>120</v>
      </c>
      <c r="D121" s="53"/>
      <c r="E121" s="51">
        <v>999</v>
      </c>
    </row>
    <row r="122" spans="1:5" ht="10.5">
      <c r="A122" s="54">
        <v>121</v>
      </c>
      <c r="D122" s="53"/>
      <c r="E122" s="51">
        <v>999</v>
      </c>
    </row>
    <row r="123" spans="1:5" ht="10.5">
      <c r="A123" s="54">
        <v>122</v>
      </c>
      <c r="D123" s="53"/>
      <c r="E123" s="51">
        <v>999</v>
      </c>
    </row>
    <row r="124" spans="1:5" ht="10.5">
      <c r="A124" s="54">
        <v>123</v>
      </c>
      <c r="D124" s="53"/>
      <c r="E124" s="51">
        <v>999</v>
      </c>
    </row>
    <row r="125" spans="1:5" ht="10.5">
      <c r="A125" s="54">
        <v>124</v>
      </c>
      <c r="D125" s="53"/>
      <c r="E125" s="51">
        <v>999</v>
      </c>
    </row>
    <row r="126" spans="1:5" ht="10.5">
      <c r="A126" s="54">
        <v>125</v>
      </c>
      <c r="D126" s="53"/>
      <c r="E126" s="51">
        <v>999</v>
      </c>
    </row>
    <row r="127" spans="1:5" ht="10.5">
      <c r="A127" s="54">
        <v>126</v>
      </c>
      <c r="D127" s="53"/>
      <c r="E127" s="51">
        <v>999</v>
      </c>
    </row>
    <row r="128" spans="1:5" ht="10.5">
      <c r="A128" s="54">
        <v>127</v>
      </c>
      <c r="D128" s="53"/>
      <c r="E128" s="51">
        <v>999</v>
      </c>
    </row>
    <row r="129" spans="1:5" ht="10.5">
      <c r="A129" s="54">
        <v>128</v>
      </c>
      <c r="D129" s="53"/>
      <c r="E129" s="51">
        <v>999</v>
      </c>
    </row>
    <row r="130" spans="1:5" ht="10.5">
      <c r="A130" s="54">
        <v>129</v>
      </c>
      <c r="D130" s="53"/>
      <c r="E130" s="51">
        <v>999</v>
      </c>
    </row>
    <row r="131" spans="1:5" ht="10.5">
      <c r="A131" s="54">
        <v>130</v>
      </c>
      <c r="D131" s="53"/>
      <c r="E131" s="51">
        <v>999</v>
      </c>
    </row>
    <row r="132" spans="1:5" ht="10.5">
      <c r="A132" s="54">
        <v>131</v>
      </c>
      <c r="D132" s="53"/>
      <c r="E132" s="51">
        <v>999</v>
      </c>
    </row>
    <row r="133" spans="1:5" ht="10.5">
      <c r="A133" s="54">
        <v>132</v>
      </c>
      <c r="D133" s="53"/>
      <c r="E133" s="51">
        <v>999</v>
      </c>
    </row>
    <row r="134" spans="1:5" ht="10.5">
      <c r="A134" s="54">
        <v>133</v>
      </c>
      <c r="D134" s="53"/>
      <c r="E134" s="51">
        <v>999</v>
      </c>
    </row>
    <row r="135" spans="1:5" ht="10.5">
      <c r="A135" s="54">
        <v>134</v>
      </c>
      <c r="D135" s="53"/>
      <c r="E135" s="51">
        <v>999</v>
      </c>
    </row>
    <row r="136" spans="1:5" ht="10.5">
      <c r="A136" s="54">
        <v>135</v>
      </c>
      <c r="D136" s="53"/>
      <c r="E136" s="51">
        <v>999</v>
      </c>
    </row>
    <row r="137" spans="1:5" ht="10.5">
      <c r="A137" s="54">
        <v>136</v>
      </c>
      <c r="D137" s="53"/>
      <c r="E137" s="51">
        <v>999</v>
      </c>
    </row>
    <row r="138" spans="1:5" ht="10.5">
      <c r="A138" s="54">
        <v>137</v>
      </c>
      <c r="D138" s="53"/>
      <c r="E138" s="51">
        <v>999</v>
      </c>
    </row>
    <row r="139" spans="1:5" ht="10.5">
      <c r="A139" s="54">
        <v>138</v>
      </c>
      <c r="D139" s="53"/>
      <c r="E139" s="51">
        <v>999</v>
      </c>
    </row>
    <row r="140" spans="1:5" ht="10.5">
      <c r="A140" s="54">
        <v>139</v>
      </c>
      <c r="B140" s="54"/>
      <c r="D140" s="53"/>
      <c r="E140" s="51">
        <v>999</v>
      </c>
    </row>
    <row r="141" spans="1:5" ht="10.5">
      <c r="A141" s="54">
        <v>140</v>
      </c>
      <c r="B141" s="54"/>
      <c r="D141" s="53"/>
      <c r="E141" s="51">
        <v>999</v>
      </c>
    </row>
    <row r="142" spans="1:5" ht="10.5">
      <c r="A142" s="54">
        <v>141</v>
      </c>
      <c r="B142" s="54"/>
      <c r="D142" s="53"/>
      <c r="E142" s="51">
        <v>999</v>
      </c>
    </row>
    <row r="143" spans="1:5" ht="10.5">
      <c r="A143" s="54">
        <v>142</v>
      </c>
      <c r="B143" s="54"/>
      <c r="D143" s="53"/>
      <c r="E143" s="51">
        <v>999</v>
      </c>
    </row>
    <row r="144" spans="1:5" ht="10.5">
      <c r="A144" s="54">
        <v>143</v>
      </c>
      <c r="B144" s="54"/>
      <c r="D144" s="53"/>
      <c r="E144" s="51">
        <v>999</v>
      </c>
    </row>
    <row r="145" spans="1:5" ht="10.5">
      <c r="A145" s="54">
        <v>144</v>
      </c>
      <c r="B145" s="54"/>
      <c r="D145" s="53"/>
      <c r="E145" s="51">
        <v>999</v>
      </c>
    </row>
    <row r="146" spans="1:5" ht="10.5">
      <c r="A146" s="54">
        <v>145</v>
      </c>
      <c r="B146" s="54"/>
      <c r="C146" s="51"/>
      <c r="D146" s="52"/>
      <c r="E146" s="51">
        <v>999</v>
      </c>
    </row>
    <row r="147" spans="1:5" ht="10.5">
      <c r="A147" s="54">
        <v>146</v>
      </c>
      <c r="B147" s="54"/>
      <c r="C147" s="51"/>
      <c r="D147" s="52"/>
      <c r="E147" s="51">
        <v>999</v>
      </c>
    </row>
    <row r="148" spans="1:5" ht="10.5">
      <c r="A148" s="54">
        <v>147</v>
      </c>
      <c r="B148" s="54"/>
      <c r="D148" s="53"/>
      <c r="E148" s="51">
        <v>999</v>
      </c>
    </row>
    <row r="149" spans="1:5" ht="10.5">
      <c r="A149" s="54">
        <v>148</v>
      </c>
      <c r="B149" s="54"/>
      <c r="C149" s="51"/>
      <c r="D149" s="53"/>
      <c r="E149" s="51">
        <v>999</v>
      </c>
    </row>
    <row r="150" spans="1:5" ht="10.5">
      <c r="A150" s="54">
        <v>149</v>
      </c>
      <c r="B150" s="54"/>
      <c r="E150" s="51">
        <v>999</v>
      </c>
    </row>
    <row r="151" spans="1:5" ht="10.5">
      <c r="A151" s="54">
        <v>150</v>
      </c>
      <c r="B151" s="54"/>
      <c r="E151" s="51">
        <v>999</v>
      </c>
    </row>
    <row r="152" spans="1:5" ht="10.5">
      <c r="A152" s="54">
        <v>151</v>
      </c>
      <c r="B152" s="54"/>
      <c r="E152" s="51">
        <v>999</v>
      </c>
    </row>
    <row r="153" spans="1:5" ht="10.5">
      <c r="A153" s="54">
        <v>152</v>
      </c>
      <c r="B153" s="54"/>
      <c r="E153" s="51">
        <v>999</v>
      </c>
    </row>
    <row r="154" spans="1:5" ht="10.5">
      <c r="A154" s="54">
        <v>153</v>
      </c>
      <c r="B154" s="54"/>
      <c r="E154" s="51">
        <v>999</v>
      </c>
    </row>
    <row r="155" spans="1:5" ht="10.5">
      <c r="A155" s="54">
        <v>154</v>
      </c>
      <c r="B155" s="54"/>
      <c r="E155" s="51">
        <v>999</v>
      </c>
    </row>
    <row r="156" spans="1:5" ht="10.5">
      <c r="A156" s="54">
        <v>155</v>
      </c>
      <c r="B156" s="54"/>
      <c r="E156" s="51">
        <v>999</v>
      </c>
    </row>
    <row r="157" spans="1:5" ht="10.5">
      <c r="A157" s="54">
        <v>156</v>
      </c>
      <c r="B157" s="54"/>
      <c r="E157" s="51">
        <v>999</v>
      </c>
    </row>
    <row r="158" spans="1:5" ht="10.5">
      <c r="A158" s="54">
        <v>157</v>
      </c>
      <c r="B158" s="54"/>
      <c r="E158" s="51">
        <v>999</v>
      </c>
    </row>
    <row r="159" spans="1:5" ht="10.5">
      <c r="A159" s="54">
        <v>158</v>
      </c>
      <c r="B159" s="54"/>
      <c r="E159" s="51">
        <v>999</v>
      </c>
    </row>
    <row r="160" spans="1:5" ht="10.5">
      <c r="A160" s="54">
        <v>159</v>
      </c>
      <c r="B160" s="54"/>
      <c r="E160" s="51">
        <v>999</v>
      </c>
    </row>
    <row r="161" spans="1:5" ht="10.5">
      <c r="A161" s="54">
        <v>160</v>
      </c>
      <c r="B161" s="54"/>
      <c r="E161" s="51">
        <v>999</v>
      </c>
    </row>
    <row r="162" spans="1:5" ht="10.5">
      <c r="A162" s="54">
        <v>161</v>
      </c>
      <c r="B162" s="54"/>
      <c r="E162" s="51">
        <v>999</v>
      </c>
    </row>
    <row r="163" spans="1:5" ht="10.5">
      <c r="A163" s="54">
        <v>162</v>
      </c>
      <c r="B163" s="54"/>
      <c r="E163" s="51">
        <v>999</v>
      </c>
    </row>
    <row r="164" spans="1:5" ht="10.5">
      <c r="A164" s="54">
        <v>163</v>
      </c>
      <c r="B164" s="54"/>
      <c r="E164" s="51">
        <v>999</v>
      </c>
    </row>
    <row r="165" spans="1:5" ht="10.5">
      <c r="A165" s="54">
        <v>164</v>
      </c>
      <c r="B165" s="54"/>
      <c r="E165" s="51">
        <v>999</v>
      </c>
    </row>
    <row r="166" spans="1:5" ht="10.5">
      <c r="A166" s="54">
        <v>165</v>
      </c>
      <c r="B166" s="54"/>
      <c r="E166" s="51">
        <v>999</v>
      </c>
    </row>
    <row r="167" spans="1:5" ht="10.5">
      <c r="A167" s="54">
        <v>166</v>
      </c>
      <c r="B167" s="54"/>
      <c r="E167" s="51">
        <v>999</v>
      </c>
    </row>
    <row r="168" spans="1:5" ht="10.5">
      <c r="A168" s="54">
        <v>167</v>
      </c>
      <c r="B168" s="54"/>
      <c r="E168" s="51">
        <v>999</v>
      </c>
    </row>
    <row r="169" spans="1:5" ht="10.5">
      <c r="A169" s="54">
        <v>168</v>
      </c>
      <c r="B169" s="54"/>
      <c r="E169" s="51">
        <v>999</v>
      </c>
    </row>
    <row r="170" spans="1:5" ht="10.5">
      <c r="A170" s="54">
        <v>169</v>
      </c>
      <c r="B170" s="54"/>
      <c r="E170" s="51">
        <v>999</v>
      </c>
    </row>
    <row r="171" spans="1:5" ht="10.5">
      <c r="A171" s="54">
        <v>170</v>
      </c>
      <c r="B171" s="54"/>
      <c r="E171" s="51">
        <v>999</v>
      </c>
    </row>
    <row r="172" spans="1:5" ht="10.5">
      <c r="A172" s="54">
        <v>171</v>
      </c>
      <c r="B172" s="54"/>
      <c r="E172" s="51">
        <v>999</v>
      </c>
    </row>
    <row r="173" spans="1:5" ht="10.5">
      <c r="A173" s="54">
        <v>172</v>
      </c>
      <c r="B173" s="54"/>
      <c r="E173" s="51">
        <v>999</v>
      </c>
    </row>
    <row r="174" spans="1:5" ht="10.5">
      <c r="A174" s="54">
        <v>173</v>
      </c>
      <c r="B174" s="54"/>
      <c r="E174" s="51">
        <v>999</v>
      </c>
    </row>
    <row r="175" spans="1:5" ht="10.5">
      <c r="A175" s="54">
        <v>174</v>
      </c>
      <c r="B175" s="54"/>
      <c r="E175" s="51">
        <v>999</v>
      </c>
    </row>
    <row r="176" spans="1:5" ht="10.5">
      <c r="A176" s="54">
        <v>175</v>
      </c>
      <c r="B176" s="54"/>
      <c r="E176" s="51">
        <v>999</v>
      </c>
    </row>
    <row r="177" spans="1:5" ht="10.5">
      <c r="A177" s="54">
        <v>176</v>
      </c>
      <c r="B177" s="54"/>
      <c r="E177" s="51">
        <v>999</v>
      </c>
    </row>
    <row r="178" spans="1:5" ht="10.5">
      <c r="A178" s="54">
        <v>177</v>
      </c>
      <c r="B178" s="54"/>
      <c r="E178" s="51">
        <v>999</v>
      </c>
    </row>
    <row r="179" spans="1:5" ht="10.5">
      <c r="A179" s="54">
        <v>178</v>
      </c>
      <c r="B179" s="54"/>
      <c r="E179" s="51">
        <v>999</v>
      </c>
    </row>
    <row r="180" spans="1:5" ht="10.5">
      <c r="A180" s="54">
        <v>179</v>
      </c>
      <c r="B180" s="54"/>
      <c r="E180" s="51">
        <v>999</v>
      </c>
    </row>
    <row r="181" spans="1:5" ht="10.5">
      <c r="A181" s="54">
        <v>180</v>
      </c>
      <c r="B181" s="54"/>
      <c r="E181" s="51">
        <v>999</v>
      </c>
    </row>
    <row r="182" spans="1:5" ht="10.5">
      <c r="A182" s="54">
        <v>181</v>
      </c>
      <c r="B182" s="54"/>
      <c r="E182" s="51">
        <v>999</v>
      </c>
    </row>
    <row r="183" spans="1:5" ht="10.5">
      <c r="A183" s="54">
        <v>182</v>
      </c>
      <c r="B183" s="54"/>
      <c r="E183" s="51">
        <v>999</v>
      </c>
    </row>
    <row r="184" spans="1:5" ht="10.5">
      <c r="A184" s="54">
        <v>183</v>
      </c>
      <c r="B184" s="54"/>
      <c r="E184" s="51">
        <v>999</v>
      </c>
    </row>
    <row r="185" spans="1:5" ht="10.5">
      <c r="A185" s="54">
        <v>184</v>
      </c>
      <c r="B185" s="54"/>
      <c r="E185" s="51">
        <v>999</v>
      </c>
    </row>
    <row r="186" spans="1:5" ht="10.5">
      <c r="A186" s="54">
        <v>185</v>
      </c>
      <c r="B186" s="54"/>
      <c r="E186" s="51">
        <v>999</v>
      </c>
    </row>
    <row r="187" spans="1:5" ht="10.5">
      <c r="A187" s="54">
        <v>186</v>
      </c>
      <c r="B187" s="54"/>
      <c r="E187" s="51">
        <v>999</v>
      </c>
    </row>
    <row r="188" spans="1:5" ht="10.5">
      <c r="A188" s="54">
        <v>187</v>
      </c>
      <c r="B188" s="54"/>
      <c r="E188" s="51">
        <v>999</v>
      </c>
    </row>
    <row r="189" spans="1:5" ht="10.5">
      <c r="A189" s="54">
        <v>188</v>
      </c>
      <c r="B189" s="54"/>
      <c r="E189" s="51">
        <v>999</v>
      </c>
    </row>
    <row r="190" spans="1:5" ht="10.5">
      <c r="A190" s="54">
        <v>189</v>
      </c>
      <c r="B190" s="54"/>
      <c r="E190" s="51">
        <v>999</v>
      </c>
    </row>
    <row r="191" spans="1:5" ht="10.5">
      <c r="A191" s="54">
        <v>190</v>
      </c>
      <c r="B191" s="54"/>
      <c r="E191" s="51">
        <v>999</v>
      </c>
    </row>
    <row r="192" spans="1:5" ht="10.5">
      <c r="A192" s="54">
        <v>191</v>
      </c>
      <c r="B192" s="54"/>
      <c r="E192" s="51">
        <v>999</v>
      </c>
    </row>
    <row r="193" spans="1:5" ht="10.5">
      <c r="A193" s="54">
        <v>192</v>
      </c>
      <c r="B193" s="54"/>
      <c r="E193" s="51">
        <v>999</v>
      </c>
    </row>
    <row r="194" spans="1:5" ht="10.5">
      <c r="A194" s="54">
        <v>193</v>
      </c>
      <c r="B194" s="54"/>
      <c r="E194" s="51">
        <v>999</v>
      </c>
    </row>
    <row r="195" spans="1:5" ht="10.5">
      <c r="A195" s="54">
        <v>194</v>
      </c>
      <c r="B195" s="54"/>
      <c r="E195" s="51">
        <v>999</v>
      </c>
    </row>
    <row r="196" spans="1:5" ht="10.5">
      <c r="A196" s="54">
        <v>195</v>
      </c>
      <c r="B196" s="54"/>
      <c r="E196" s="51">
        <v>999</v>
      </c>
    </row>
    <row r="197" spans="1:5" ht="10.5">
      <c r="A197" s="54">
        <v>196</v>
      </c>
      <c r="B197" s="54"/>
      <c r="E197" s="51">
        <v>999</v>
      </c>
    </row>
    <row r="198" spans="1:5" ht="10.5">
      <c r="A198" s="54">
        <v>197</v>
      </c>
      <c r="B198" s="54"/>
      <c r="E198" s="51">
        <v>999</v>
      </c>
    </row>
    <row r="199" spans="1:5" ht="10.5">
      <c r="A199" s="54">
        <v>198</v>
      </c>
      <c r="B199" s="54"/>
      <c r="E199" s="51">
        <v>999</v>
      </c>
    </row>
    <row r="200" spans="1:5" ht="10.5">
      <c r="A200" s="54">
        <v>199</v>
      </c>
      <c r="B200" s="54"/>
      <c r="E200" s="51">
        <v>999</v>
      </c>
    </row>
    <row r="201" spans="1:5" ht="10.5">
      <c r="A201" s="54">
        <v>200</v>
      </c>
      <c r="B201" s="54"/>
      <c r="E201" s="51">
        <v>999</v>
      </c>
    </row>
    <row r="202" spans="1:5" ht="10.5">
      <c r="A202" s="54">
        <v>201</v>
      </c>
      <c r="B202" s="54"/>
      <c r="E202" s="51">
        <v>999</v>
      </c>
    </row>
    <row r="203" spans="1:5" ht="10.5">
      <c r="A203" s="54">
        <v>202</v>
      </c>
      <c r="B203" s="54"/>
      <c r="E203" s="51">
        <v>999</v>
      </c>
    </row>
    <row r="204" spans="1:5" ht="10.5">
      <c r="A204" s="54">
        <v>203</v>
      </c>
      <c r="B204" s="54"/>
      <c r="E204" s="51">
        <v>999</v>
      </c>
    </row>
    <row r="205" spans="1:5" ht="10.5">
      <c r="A205" s="54">
        <v>204</v>
      </c>
      <c r="B205" s="54"/>
      <c r="E205" s="51">
        <v>999</v>
      </c>
    </row>
    <row r="206" spans="1:5" ht="10.5">
      <c r="A206" s="54">
        <v>205</v>
      </c>
      <c r="B206" s="54"/>
      <c r="E206" s="51">
        <v>999</v>
      </c>
    </row>
    <row r="207" spans="1:5" ht="10.5">
      <c r="A207" s="54">
        <v>206</v>
      </c>
      <c r="B207" s="54"/>
      <c r="E207" s="51">
        <v>999</v>
      </c>
    </row>
    <row r="208" spans="1:5" ht="10.5">
      <c r="A208" s="54">
        <v>207</v>
      </c>
      <c r="B208" s="54"/>
      <c r="E208" s="51">
        <v>999</v>
      </c>
    </row>
    <row r="209" spans="1:5" ht="10.5">
      <c r="A209" s="54">
        <v>208</v>
      </c>
      <c r="B209" s="54"/>
      <c r="E209" s="51">
        <v>999</v>
      </c>
    </row>
    <row r="210" spans="1:5" ht="10.5">
      <c r="A210" s="54">
        <v>209</v>
      </c>
      <c r="B210" s="54"/>
      <c r="E210" s="51">
        <v>999</v>
      </c>
    </row>
    <row r="211" spans="1:5" ht="10.5">
      <c r="A211" s="54">
        <v>210</v>
      </c>
      <c r="B211" s="54"/>
      <c r="E211" s="51">
        <v>999</v>
      </c>
    </row>
    <row r="212" spans="1:5" ht="10.5">
      <c r="A212" s="54">
        <v>211</v>
      </c>
      <c r="B212" s="54"/>
      <c r="E212" s="51">
        <v>999</v>
      </c>
    </row>
    <row r="213" spans="1:5" ht="10.5">
      <c r="A213" s="54">
        <v>212</v>
      </c>
      <c r="B213" s="54"/>
      <c r="E213" s="51">
        <v>999</v>
      </c>
    </row>
    <row r="214" spans="1:5" ht="10.5">
      <c r="A214" s="54">
        <v>213</v>
      </c>
      <c r="B214" s="54"/>
      <c r="E214" s="51">
        <v>999</v>
      </c>
    </row>
    <row r="215" spans="1:5" ht="10.5">
      <c r="A215" s="54">
        <v>214</v>
      </c>
      <c r="B215" s="54"/>
      <c r="E215" s="51">
        <v>999</v>
      </c>
    </row>
    <row r="216" spans="1:5" ht="10.5">
      <c r="A216" s="54">
        <v>215</v>
      </c>
      <c r="B216" s="54"/>
      <c r="E216" s="51">
        <v>999</v>
      </c>
    </row>
    <row r="217" spans="1:5" ht="10.5">
      <c r="A217" s="54">
        <v>216</v>
      </c>
      <c r="B217" s="54"/>
      <c r="E217" s="51">
        <v>999</v>
      </c>
    </row>
    <row r="218" spans="1:5" ht="10.5">
      <c r="A218" s="54">
        <v>217</v>
      </c>
      <c r="B218" s="54"/>
      <c r="E218" s="51">
        <v>999</v>
      </c>
    </row>
    <row r="219" spans="1:5" ht="10.5">
      <c r="A219" s="54">
        <v>218</v>
      </c>
      <c r="B219" s="54"/>
      <c r="E219" s="51">
        <v>999</v>
      </c>
    </row>
    <row r="220" spans="1:5" ht="10.5">
      <c r="A220" s="54">
        <v>219</v>
      </c>
      <c r="B220" s="54"/>
      <c r="E220" s="51">
        <v>999</v>
      </c>
    </row>
    <row r="221" spans="1:5" ht="10.5">
      <c r="A221" s="54">
        <v>220</v>
      </c>
      <c r="B221" s="54"/>
      <c r="E221" s="51">
        <v>999</v>
      </c>
    </row>
    <row r="222" spans="1:5" ht="10.5">
      <c r="A222" s="54">
        <v>221</v>
      </c>
      <c r="B222" s="54"/>
      <c r="E222" s="51">
        <v>999</v>
      </c>
    </row>
    <row r="223" spans="1:5" ht="10.5">
      <c r="A223" s="54">
        <v>222</v>
      </c>
      <c r="B223" s="54"/>
      <c r="E223" s="51">
        <v>999</v>
      </c>
    </row>
    <row r="224" spans="1:5" ht="10.5">
      <c r="A224" s="54">
        <v>223</v>
      </c>
      <c r="B224" s="54"/>
      <c r="E224" s="51">
        <v>999</v>
      </c>
    </row>
    <row r="225" spans="1:5" ht="10.5">
      <c r="A225" s="54">
        <v>224</v>
      </c>
      <c r="B225" s="54"/>
      <c r="E225" s="51">
        <v>999</v>
      </c>
    </row>
    <row r="226" spans="1:5" ht="10.5">
      <c r="A226" s="54">
        <v>225</v>
      </c>
      <c r="B226" s="54"/>
      <c r="E226" s="51">
        <v>999</v>
      </c>
    </row>
    <row r="227" spans="1:5" ht="10.5">
      <c r="A227" s="54">
        <v>226</v>
      </c>
      <c r="B227" s="54"/>
      <c r="E227" s="51">
        <v>999</v>
      </c>
    </row>
    <row r="228" spans="1:5" ht="10.5">
      <c r="A228" s="54">
        <v>227</v>
      </c>
      <c r="B228" s="54"/>
      <c r="E228" s="51">
        <v>999</v>
      </c>
    </row>
    <row r="229" spans="1:5" ht="10.5">
      <c r="A229" s="54">
        <v>228</v>
      </c>
      <c r="B229" s="54"/>
      <c r="E229" s="51">
        <v>999</v>
      </c>
    </row>
    <row r="230" spans="1:5" ht="10.5">
      <c r="A230" s="54">
        <v>229</v>
      </c>
      <c r="B230" s="54"/>
      <c r="E230" s="51">
        <v>999</v>
      </c>
    </row>
    <row r="231" spans="1:5" ht="10.5">
      <c r="A231" s="54">
        <v>230</v>
      </c>
      <c r="B231" s="54"/>
      <c r="E231" s="51">
        <v>999</v>
      </c>
    </row>
    <row r="232" spans="1:5" ht="10.5">
      <c r="A232" s="54">
        <v>231</v>
      </c>
      <c r="B232" s="54"/>
      <c r="E232" s="51">
        <v>999</v>
      </c>
    </row>
    <row r="233" spans="1:5" ht="10.5">
      <c r="A233" s="54">
        <v>232</v>
      </c>
      <c r="B233" s="54"/>
      <c r="E233" s="51">
        <v>999</v>
      </c>
    </row>
    <row r="234" spans="1:5" ht="10.5">
      <c r="A234" s="54">
        <v>233</v>
      </c>
      <c r="B234" s="54"/>
      <c r="E234" s="51">
        <v>999</v>
      </c>
    </row>
    <row r="235" spans="1:5" ht="10.5">
      <c r="A235" s="54">
        <v>234</v>
      </c>
      <c r="B235" s="54"/>
      <c r="E235" s="51">
        <v>999</v>
      </c>
    </row>
    <row r="236" spans="1:5" ht="10.5">
      <c r="A236" s="54">
        <v>235</v>
      </c>
      <c r="B236" s="54"/>
      <c r="E236" s="51">
        <v>999</v>
      </c>
    </row>
    <row r="237" spans="1:5" ht="10.5">
      <c r="A237" s="54">
        <v>236</v>
      </c>
      <c r="B237" s="54"/>
      <c r="E237" s="51">
        <v>999</v>
      </c>
    </row>
    <row r="238" spans="1:5" ht="10.5">
      <c r="A238" s="54">
        <v>237</v>
      </c>
      <c r="B238" s="54"/>
      <c r="E238" s="51">
        <v>999</v>
      </c>
    </row>
    <row r="239" spans="1:5" ht="10.5">
      <c r="A239" s="54">
        <v>238</v>
      </c>
      <c r="B239" s="54"/>
      <c r="E239" s="51">
        <v>999</v>
      </c>
    </row>
    <row r="240" spans="1:5" ht="10.5">
      <c r="A240" s="54">
        <v>239</v>
      </c>
      <c r="B240" s="54"/>
      <c r="E240" s="51">
        <v>999</v>
      </c>
    </row>
    <row r="241" spans="1:5" ht="10.5">
      <c r="A241" s="54">
        <v>240</v>
      </c>
      <c r="B241" s="54"/>
      <c r="E241" s="51">
        <v>999</v>
      </c>
    </row>
    <row r="242" spans="1:5" ht="10.5">
      <c r="A242" s="54">
        <v>241</v>
      </c>
      <c r="B242" s="54"/>
      <c r="E242" s="51">
        <v>999</v>
      </c>
    </row>
    <row r="243" spans="1:5" ht="10.5">
      <c r="A243" s="54">
        <v>242</v>
      </c>
      <c r="B243" s="54"/>
      <c r="E243" s="51">
        <v>999</v>
      </c>
    </row>
    <row r="244" spans="1:5" ht="10.5">
      <c r="A244" s="54">
        <v>243</v>
      </c>
      <c r="B244" s="54"/>
      <c r="E244" s="51">
        <v>999</v>
      </c>
    </row>
    <row r="245" spans="1:5" ht="10.5">
      <c r="A245" s="54">
        <v>244</v>
      </c>
      <c r="B245" s="54"/>
      <c r="E245" s="51">
        <v>999</v>
      </c>
    </row>
    <row r="246" spans="1:5" ht="10.5">
      <c r="A246" s="54">
        <v>245</v>
      </c>
      <c r="B246" s="54"/>
      <c r="E246" s="51">
        <v>999</v>
      </c>
    </row>
    <row r="247" spans="1:5" ht="10.5">
      <c r="A247" s="54">
        <v>246</v>
      </c>
      <c r="B247" s="54"/>
      <c r="E247" s="51">
        <v>999</v>
      </c>
    </row>
    <row r="248" spans="1:5" ht="10.5">
      <c r="A248" s="54">
        <v>247</v>
      </c>
      <c r="B248" s="54"/>
      <c r="E248" s="51">
        <v>999</v>
      </c>
    </row>
    <row r="249" spans="1:5" ht="10.5">
      <c r="A249" s="54">
        <v>248</v>
      </c>
      <c r="B249" s="54"/>
      <c r="E249" s="51">
        <v>999</v>
      </c>
    </row>
    <row r="250" spans="1:5" ht="10.5">
      <c r="A250" s="54">
        <v>249</v>
      </c>
      <c r="B250" s="54"/>
      <c r="E250" s="51">
        <v>999</v>
      </c>
    </row>
    <row r="251" spans="1:5" ht="10.5">
      <c r="A251" s="54">
        <v>250</v>
      </c>
      <c r="B251" s="54"/>
      <c r="E251" s="51">
        <v>999</v>
      </c>
    </row>
    <row r="252" spans="1:5" ht="10.5">
      <c r="A252" s="54">
        <v>251</v>
      </c>
      <c r="B252" s="54"/>
      <c r="E252" s="51">
        <v>999</v>
      </c>
    </row>
    <row r="253" spans="1:5" ht="10.5">
      <c r="A253" s="54">
        <v>252</v>
      </c>
      <c r="B253" s="54"/>
      <c r="E253" s="51">
        <v>999</v>
      </c>
    </row>
    <row r="254" spans="1:5" ht="10.5">
      <c r="A254" s="54">
        <v>253</v>
      </c>
      <c r="B254" s="54"/>
      <c r="E254" s="51">
        <v>999</v>
      </c>
    </row>
    <row r="255" spans="1:5" ht="10.5">
      <c r="A255" s="54">
        <v>254</v>
      </c>
      <c r="B255" s="54"/>
      <c r="E255" s="51">
        <v>999</v>
      </c>
    </row>
    <row r="256" spans="1:5" ht="10.5">
      <c r="A256" s="54">
        <v>255</v>
      </c>
      <c r="B256" s="54"/>
      <c r="E256" s="51">
        <v>999</v>
      </c>
    </row>
    <row r="257" spans="1:5" ht="10.5">
      <c r="A257" s="54">
        <v>256</v>
      </c>
      <c r="B257" s="54"/>
      <c r="E257" s="51">
        <v>999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view="pageBreakPreview" zoomScaleSheetLayoutView="100" zoomScalePageLayoutView="0" workbookViewId="0" topLeftCell="A43">
      <selection activeCell="H42" sqref="H42"/>
    </sheetView>
  </sheetViews>
  <sheetFormatPr defaultColWidth="9.00390625" defaultRowHeight="15" customHeight="1"/>
  <cols>
    <col min="1" max="1" width="3.375" style="23" customWidth="1"/>
    <col min="2" max="2" width="31.125" style="23" bestFit="1" customWidth="1"/>
    <col min="3" max="8" width="5.00390625" style="23" customWidth="1"/>
    <col min="9" max="9" width="1.625" style="23" customWidth="1"/>
    <col min="10" max="10" width="30.875" style="23" bestFit="1" customWidth="1"/>
    <col min="11" max="11" width="18.75390625" style="23" bestFit="1" customWidth="1"/>
    <col min="12" max="12" width="4.375" style="23" customWidth="1"/>
    <col min="13" max="13" width="24.125" style="23" bestFit="1" customWidth="1"/>
    <col min="14" max="14" width="5.25390625" style="23" bestFit="1" customWidth="1"/>
    <col min="15" max="15" width="14.375" style="23" bestFit="1" customWidth="1"/>
    <col min="16" max="16" width="3.75390625" style="23" customWidth="1"/>
    <col min="17" max="17" width="4.75390625" style="23" bestFit="1" customWidth="1"/>
    <col min="18" max="18" width="14.375" style="23" bestFit="1" customWidth="1"/>
    <col min="19" max="19" width="2.875" style="23" customWidth="1"/>
    <col min="20" max="24" width="5.00390625" style="23" bestFit="1" customWidth="1"/>
    <col min="25" max="26" width="5.125" style="23" customWidth="1"/>
    <col min="27" max="27" width="5.625" style="23" bestFit="1" customWidth="1"/>
    <col min="28" max="28" width="4.375" style="23" customWidth="1"/>
    <col min="29" max="29" width="8.125" style="23" bestFit="1" customWidth="1"/>
    <col min="30" max="30" width="3.375" style="23" customWidth="1"/>
    <col min="31" max="32" width="3.125" style="23" customWidth="1"/>
    <col min="33" max="33" width="1.875" style="23" customWidth="1"/>
    <col min="34" max="38" width="3.125" style="23" customWidth="1"/>
    <col min="39" max="39" width="3.00390625" style="23" customWidth="1"/>
    <col min="40" max="42" width="0" style="23" hidden="1" customWidth="1"/>
    <col min="43" max="16384" width="9.125" style="23" customWidth="1"/>
  </cols>
  <sheetData>
    <row r="1" spans="1:7" ht="20.25">
      <c r="A1" s="3" t="str">
        <f>úvod!C6</f>
        <v>Satellite Youth Table Tennis Tournament</v>
      </c>
      <c r="B1" s="2"/>
      <c r="C1" s="2"/>
      <c r="D1" s="2"/>
      <c r="E1" s="2"/>
      <c r="F1" s="2"/>
      <c r="G1" s="2"/>
    </row>
    <row r="2" spans="1:11" ht="20.25">
      <c r="A2" s="4" t="s">
        <v>82</v>
      </c>
      <c r="B2" s="2"/>
      <c r="C2" s="2"/>
      <c r="D2" s="2"/>
      <c r="E2" s="2"/>
      <c r="F2" s="2"/>
      <c r="G2" s="20"/>
      <c r="K2" s="20" t="str">
        <f>CONCATENATE("Dvouhra ",úvod!C8," - 2.stupeň")</f>
        <v>Dvouhra YOUNGER CADET BOYS - 2.stupeň</v>
      </c>
    </row>
    <row r="3" spans="1:40" ht="15" customHeight="1" thickBot="1">
      <c r="A3" s="2"/>
      <c r="B3" s="2"/>
      <c r="C3" s="4"/>
      <c r="D3" s="2"/>
      <c r="E3" s="2"/>
      <c r="F3" s="2"/>
      <c r="G3" s="15"/>
      <c r="K3" s="73" t="str">
        <f>úvod!C7</f>
        <v>15.8. 2011</v>
      </c>
      <c r="M3" s="24" t="str">
        <f>B4</f>
        <v>Skupina A</v>
      </c>
      <c r="N3" s="24" t="s">
        <v>0</v>
      </c>
      <c r="O3" s="24" t="s">
        <v>1</v>
      </c>
      <c r="P3" s="24" t="s">
        <v>2</v>
      </c>
      <c r="Q3" s="24" t="s">
        <v>0</v>
      </c>
      <c r="R3" s="24" t="s">
        <v>3</v>
      </c>
      <c r="S3" s="24" t="s">
        <v>2</v>
      </c>
      <c r="T3" s="25" t="s">
        <v>4</v>
      </c>
      <c r="U3" s="25" t="s">
        <v>5</v>
      </c>
      <c r="V3" s="25" t="s">
        <v>6</v>
      </c>
      <c r="W3" s="25" t="s">
        <v>7</v>
      </c>
      <c r="X3" s="25" t="s">
        <v>8</v>
      </c>
      <c r="Y3" s="24" t="s">
        <v>9</v>
      </c>
      <c r="Z3" s="24" t="s">
        <v>10</v>
      </c>
      <c r="AA3" s="24" t="s">
        <v>11</v>
      </c>
      <c r="AN3" s="23" t="s">
        <v>16</v>
      </c>
    </row>
    <row r="4" spans="1:42" ht="16.5" customHeight="1" thickBot="1" thickTop="1">
      <c r="A4" s="44"/>
      <c r="B4" s="45" t="s">
        <v>18</v>
      </c>
      <c r="C4" s="46">
        <v>1</v>
      </c>
      <c r="D4" s="47">
        <v>2</v>
      </c>
      <c r="E4" s="47">
        <v>3</v>
      </c>
      <c r="F4" s="48">
        <v>4</v>
      </c>
      <c r="G4" s="49" t="s">
        <v>14</v>
      </c>
      <c r="H4" s="48" t="s">
        <v>15</v>
      </c>
      <c r="J4" s="23" t="str">
        <f aca="true" t="shared" si="0" ref="J4:J9">CONCATENATE(O4," - ",R4)</f>
        <v>Riznychenko Ostap - bye</v>
      </c>
      <c r="K4" s="23">
        <f aca="true" t="shared" si="1" ref="K4:K9">IF(SUM(Y4:Z4)=0,AD4,CONCATENATE(Y4," : ",Z4," (",T4,",",U4,",",V4,IF(Y4+Z4&gt;3,",",""),W4,IF(Y4+Z4&gt;4,",",""),X4,")"))</f>
      </c>
      <c r="M4" s="23" t="str">
        <f>CONCATENATE("2.st. ",úvod!$C$8," - ",M3)</f>
        <v>2.st. YOUNGER CADET BOYS - Skupina A</v>
      </c>
      <c r="N4" s="23">
        <f>A5</f>
        <v>6</v>
      </c>
      <c r="O4" s="23" t="str">
        <f>IF($N4=0,"bye",VLOOKUP($N4,seznam!$A$2:$C$268,2))</f>
        <v>Riznychenko Ostap</v>
      </c>
      <c r="P4" s="23" t="str">
        <f>IF($N4=0,"",VLOOKUP($N4,seznam!$A$2:$D$268,4))</f>
        <v>Dnepropetrovsk (UKR)</v>
      </c>
      <c r="Q4" s="23">
        <f>A8</f>
        <v>0</v>
      </c>
      <c r="R4" s="23" t="str">
        <f>IF($Q4=0,"bye",VLOOKUP($Q4,seznam!$A$2:$C$268,2))</f>
        <v>bye</v>
      </c>
      <c r="S4" s="23">
        <f>IF($Q4=0,"",VLOOKUP($Q4,seznam!$A$2:$D$268,4))</f>
      </c>
      <c r="T4" s="55"/>
      <c r="U4" s="56"/>
      <c r="V4" s="56"/>
      <c r="W4" s="56"/>
      <c r="X4" s="57"/>
      <c r="Y4" s="23">
        <f aca="true" t="shared" si="2" ref="Y4:Y9">COUNTIF(AH4:AL4,"&gt;0")</f>
        <v>0</v>
      </c>
      <c r="Z4" s="23">
        <f aca="true" t="shared" si="3" ref="Z4:Z9">COUNTIF(AH4:AL4,"&lt;0")</f>
        <v>0</v>
      </c>
      <c r="AA4" s="23">
        <f aca="true" t="shared" si="4" ref="AA4:AA9">IF(Y4=Z4,0,IF(Y4&gt;Z4,N4,Q4))</f>
        <v>0</v>
      </c>
      <c r="AB4" s="23">
        <f>IF($AA4=0,"",VLOOKUP($AA4,seznam!$A$2:$C$268,2))</f>
      </c>
      <c r="AC4" s="23">
        <f aca="true" t="shared" si="5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</c>
      <c r="AD4" s="23">
        <f aca="true" t="shared" si="6" ref="AD4:AD9">IF(SUM(Y4:Z4)=0,"",AC4)</f>
      </c>
      <c r="AE4" s="23">
        <f aca="true" t="shared" si="7" ref="AE4:AE9">IF(T4="",0,IF(Y4&gt;Z4,2,1))</f>
        <v>0</v>
      </c>
      <c r="AF4" s="23">
        <f aca="true" t="shared" si="8" ref="AF4:AF9">IF(T4="",0,IF(Z4&gt;Y4,2,1))</f>
        <v>0</v>
      </c>
      <c r="AH4" s="23">
        <f aca="true" t="shared" si="9" ref="AH4:AL9">IF(T4="",0,IF(MID(T4,1,1)="-",-1,1))</f>
        <v>0</v>
      </c>
      <c r="AI4" s="23">
        <f t="shared" si="9"/>
        <v>0</v>
      </c>
      <c r="AJ4" s="23">
        <f t="shared" si="9"/>
        <v>0</v>
      </c>
      <c r="AK4" s="23">
        <f t="shared" si="9"/>
        <v>0</v>
      </c>
      <c r="AL4" s="23">
        <f t="shared" si="9"/>
        <v>0</v>
      </c>
      <c r="AN4" s="23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23" t="str">
        <f>CONCATENATE("&lt;TR&gt;&lt;TD width=250&gt;",J4,"&lt;TD&gt;",K4,"&lt;/TD&gt;&lt;/TR&gt;")</f>
        <v>&lt;TR&gt;&lt;TD width=250&gt;Riznychenko Ostap - bye&lt;TD&gt;&lt;/TD&gt;&lt;/TR&gt;</v>
      </c>
    </row>
    <row r="5" spans="1:42" ht="16.5" customHeight="1" thickTop="1">
      <c r="A5" s="38">
        <v>6</v>
      </c>
      <c r="B5" s="39" t="str">
        <f>IF($A5="","",CONCATENATE(VLOOKUP($A5,seznam!$A$2:$B$268,2)," (",VLOOKUP($A5,seznam!$A$2:$E$269,4),")"))</f>
        <v>Riznychenko Ostap (Dnepropetrovsk (UKR))</v>
      </c>
      <c r="C5" s="40" t="s">
        <v>30</v>
      </c>
      <c r="D5" s="41" t="str">
        <f>IF(Y7+Z7=0,"",CONCATENATE(Y7,":",Z7))</f>
        <v>3:0</v>
      </c>
      <c r="E5" s="41" t="str">
        <f>IF(Y9+Z9=0,"",CONCATENATE(Z9,":",Y9))</f>
        <v>3:0</v>
      </c>
      <c r="F5" s="42">
        <f>IF(Y4+Z4=0,"",CONCATENATE(Y4,":",Z4))</f>
      </c>
      <c r="G5" s="43">
        <f>IF(AE4+AE7+AF9=0,"",AE4+AE7+AF9)</f>
        <v>4</v>
      </c>
      <c r="H5" s="42">
        <v>1</v>
      </c>
      <c r="J5" s="23" t="str">
        <f t="shared" si="0"/>
        <v>Svitana Ján - Nedbálek Michal</v>
      </c>
      <c r="K5" s="23" t="str">
        <f t="shared" si="1"/>
        <v>3 : 0 (4,4,5)</v>
      </c>
      <c r="M5" s="23" t="str">
        <f>CONCATENATE("2.st. ",úvod!$C$8," - ",M3)</f>
        <v>2.st. YOUNGER CADET BOYS - Skupina A</v>
      </c>
      <c r="N5" s="23">
        <f>A6</f>
        <v>44</v>
      </c>
      <c r="O5" s="23" t="str">
        <f>IF($N5=0,"bye",VLOOKUP($N5,seznam!$A$2:$C$268,2))</f>
        <v>Svitana Ján</v>
      </c>
      <c r="P5" s="23" t="str">
        <f>IF($N5=0,"",VLOOKUP($N5,seznam!$A$2:$D$268,4))</f>
        <v>Trenčianská teplá</v>
      </c>
      <c r="Q5" s="23">
        <f>A7</f>
        <v>54</v>
      </c>
      <c r="R5" s="23" t="str">
        <f>IF($Q5=0,"bye",VLOOKUP($Q5,seznam!$A$2:$C$268,2))</f>
        <v>Nedbálek Michal</v>
      </c>
      <c r="S5" s="23" t="str">
        <f>IF($Q5=0,"",VLOOKUP($Q5,seznam!$A$2:$D$268,4))</f>
        <v>Zlín</v>
      </c>
      <c r="T5" s="58" t="s">
        <v>220</v>
      </c>
      <c r="U5" s="59" t="s">
        <v>220</v>
      </c>
      <c r="V5" s="59" t="s">
        <v>211</v>
      </c>
      <c r="W5" s="59"/>
      <c r="X5" s="60"/>
      <c r="Y5" s="23">
        <f t="shared" si="2"/>
        <v>3</v>
      </c>
      <c r="Z5" s="23">
        <f t="shared" si="3"/>
        <v>0</v>
      </c>
      <c r="AA5" s="23">
        <f t="shared" si="4"/>
        <v>44</v>
      </c>
      <c r="AB5" s="23" t="str">
        <f>IF($AA5=0,"",VLOOKUP($AA5,seznam!$A$2:$C$268,2))</f>
        <v>Svitana Ján</v>
      </c>
      <c r="AC5" s="23" t="str">
        <f t="shared" si="5"/>
        <v>3:0 (4,4,5)</v>
      </c>
      <c r="AD5" s="23" t="str">
        <f t="shared" si="6"/>
        <v>3:0 (4,4,5)</v>
      </c>
      <c r="AE5" s="23">
        <f t="shared" si="7"/>
        <v>2</v>
      </c>
      <c r="AF5" s="23">
        <f t="shared" si="8"/>
        <v>1</v>
      </c>
      <c r="AH5" s="23">
        <f t="shared" si="9"/>
        <v>1</v>
      </c>
      <c r="AI5" s="23">
        <f t="shared" si="9"/>
        <v>1</v>
      </c>
      <c r="AJ5" s="23">
        <f t="shared" si="9"/>
        <v>1</v>
      </c>
      <c r="AK5" s="23">
        <f t="shared" si="9"/>
        <v>0</v>
      </c>
      <c r="AL5" s="23">
        <f t="shared" si="9"/>
        <v>0</v>
      </c>
      <c r="AN5" s="23" t="str">
        <f>CONCATENATE(AO5,AO6,AO7,AO8,)</f>
        <v>&lt;TR&gt;&lt;TD&gt;6&lt;TD width=200&gt;Riznychenko Ostap (Dnepropetrovsk (UKR))&lt;TD&gt;XXX&lt;TD&gt;3:0&lt;TD&gt;3:0&lt;TD&gt;&lt;TD&gt;4&lt;TD&gt;1&lt;/TD&gt;&lt;/TR&gt;&lt;TR&gt;&lt;TD&gt;44&lt;TD width=200&gt;Svitana Ján (Trenčianská teplá)&lt;TD&gt;0:3&lt;TD&gt;XXX&lt;TD&gt;3:0&lt;TD&gt;&lt;TD&gt;3&lt;TD&gt;2&lt;/TD&gt;&lt;/TR&gt;&lt;TR&gt;&lt;TD&gt;54&lt;TD width=200&gt;Nedbálek Michal (Zlín)&lt;TD&gt;0:3&lt;TD&gt;0:3&lt;TD&gt;XXX&lt;TD&gt;&lt;TD&gt;2&lt;TD&gt;3&lt;/TD&gt;&lt;/TR&gt;&lt;TR&gt;&lt;TD&gt;&lt;TD width=200&gt;&lt;TD&gt;&lt;TD&gt;&lt;TD&gt;&lt;TD&gt;XXX&lt;TD&gt;&lt;TD&gt;&lt;/TD&gt;&lt;/TR&gt;</v>
      </c>
      <c r="AO5" s="23" t="str">
        <f>CONCATENATE("&lt;TR&gt;&lt;TD&gt;",A5,"&lt;TD width=200&gt;",B5,"&lt;TD&gt;",C5,"&lt;TD&gt;",D5,"&lt;TD&gt;",E5,"&lt;TD&gt;",F5,"&lt;TD&gt;",G5,"&lt;TD&gt;",H5,"&lt;/TD&gt;&lt;/TR&gt;")</f>
        <v>&lt;TR&gt;&lt;TD&gt;6&lt;TD width=200&gt;Riznychenko Ostap (Dnepropetrovsk (UKR))&lt;TD&gt;XXX&lt;TD&gt;3:0&lt;TD&gt;3:0&lt;TD&gt;&lt;TD&gt;4&lt;TD&gt;1&lt;/TD&gt;&lt;/TR&gt;</v>
      </c>
      <c r="AP5" s="23" t="str">
        <f>CONCATENATE("&lt;TR&gt;&lt;TD&gt;",J5,"&lt;TD&gt;",K5,"&lt;/TD&gt;&lt;/TR&gt;")</f>
        <v>&lt;TR&gt;&lt;TD&gt;Svitana Ján - Nedbálek Michal&lt;TD&gt;3 : 0 (4,4,5)&lt;/TD&gt;&lt;/TR&gt;</v>
      </c>
    </row>
    <row r="6" spans="1:42" ht="16.5" customHeight="1">
      <c r="A6" s="26">
        <v>44</v>
      </c>
      <c r="B6" s="32" t="str">
        <f>IF($A6="","",CONCATENATE(VLOOKUP($A6,seznam!$A$2:$B$268,2)," (",VLOOKUP($A6,seznam!$A$2:$E$269,4),")"))</f>
        <v>Svitana Ján (Trenčianská teplá)</v>
      </c>
      <c r="C6" s="36" t="str">
        <f>IF(Y7+Z7=0,"",CONCATENATE(Z7,":",Y7))</f>
        <v>0:3</v>
      </c>
      <c r="D6" s="27" t="s">
        <v>30</v>
      </c>
      <c r="E6" s="27" t="str">
        <f>IF(Y5+Z5=0,"",CONCATENATE(Y5,":",Z5))</f>
        <v>3:0</v>
      </c>
      <c r="F6" s="28">
        <f>IF(Y8+Z8=0,"",CONCATENATE(Y8,":",Z8))</f>
      </c>
      <c r="G6" s="34">
        <f>IF(AE5+AF7+AE8=0,"",AE5+AF7+AE8)</f>
        <v>3</v>
      </c>
      <c r="H6" s="28">
        <v>2</v>
      </c>
      <c r="J6" s="23" t="str">
        <f t="shared" si="0"/>
        <v>bye - Nedbálek Michal</v>
      </c>
      <c r="K6" s="23">
        <f t="shared" si="1"/>
      </c>
      <c r="M6" s="23" t="str">
        <f>CONCATENATE("2.st. ",úvod!$C$8," - ",M3)</f>
        <v>2.st. YOUNGER CADET BOYS - Skupina A</v>
      </c>
      <c r="N6" s="23">
        <f>A8</f>
        <v>0</v>
      </c>
      <c r="O6" s="23" t="str">
        <f>IF($N6=0,"bye",VLOOKUP($N6,seznam!$A$2:$C$268,2))</f>
        <v>bye</v>
      </c>
      <c r="P6" s="23">
        <f>IF($N6=0,"",VLOOKUP($N6,seznam!$A$2:$D$268,4))</f>
      </c>
      <c r="Q6" s="23">
        <f>A7</f>
        <v>54</v>
      </c>
      <c r="R6" s="23" t="str">
        <f>IF($Q6=0,"bye",VLOOKUP($Q6,seznam!$A$2:$C$268,2))</f>
        <v>Nedbálek Michal</v>
      </c>
      <c r="S6" s="23" t="str">
        <f>IF($Q6=0,"",VLOOKUP($Q6,seznam!$A$2:$D$268,4))</f>
        <v>Zlín</v>
      </c>
      <c r="T6" s="58"/>
      <c r="U6" s="59"/>
      <c r="V6" s="59"/>
      <c r="W6" s="59"/>
      <c r="X6" s="60"/>
      <c r="Y6" s="23">
        <f t="shared" si="2"/>
        <v>0</v>
      </c>
      <c r="Z6" s="23">
        <f t="shared" si="3"/>
        <v>0</v>
      </c>
      <c r="AA6" s="23">
        <f t="shared" si="4"/>
        <v>0</v>
      </c>
      <c r="AB6" s="23">
        <f>IF($AA6=0,"",VLOOKUP($AA6,seznam!$A$2:$C$268,2))</f>
      </c>
      <c r="AC6" s="23">
        <f t="shared" si="5"/>
      </c>
      <c r="AD6" s="23">
        <f t="shared" si="6"/>
      </c>
      <c r="AE6" s="23">
        <f t="shared" si="7"/>
        <v>0</v>
      </c>
      <c r="AF6" s="23">
        <f t="shared" si="8"/>
        <v>0</v>
      </c>
      <c r="AH6" s="23">
        <f t="shared" si="9"/>
        <v>0</v>
      </c>
      <c r="AI6" s="23">
        <f t="shared" si="9"/>
        <v>0</v>
      </c>
      <c r="AJ6" s="23">
        <f t="shared" si="9"/>
        <v>0</v>
      </c>
      <c r="AK6" s="23">
        <f t="shared" si="9"/>
        <v>0</v>
      </c>
      <c r="AL6" s="23">
        <f t="shared" si="9"/>
        <v>0</v>
      </c>
      <c r="AN6" s="23" t="str">
        <f>CONCATENATE("&lt;/Table&gt;&lt;TD width=420&gt;&lt;Table&gt;")</f>
        <v>&lt;/Table&gt;&lt;TD width=420&gt;&lt;Table&gt;</v>
      </c>
      <c r="AO6" s="23" t="str">
        <f>CONCATENATE("&lt;TR&gt;&lt;TD&gt;",A6,"&lt;TD width=200&gt;",B6,"&lt;TD&gt;",C6,"&lt;TD&gt;",D6,"&lt;TD&gt;",E6,"&lt;TD&gt;",F6,"&lt;TD&gt;",G6,"&lt;TD&gt;",H6,"&lt;/TD&gt;&lt;/TR&gt;")</f>
        <v>&lt;TR&gt;&lt;TD&gt;44&lt;TD width=200&gt;Svitana Ján (Trenčianská teplá)&lt;TD&gt;0:3&lt;TD&gt;XXX&lt;TD&gt;3:0&lt;TD&gt;&lt;TD&gt;3&lt;TD&gt;2&lt;/TD&gt;&lt;/TR&gt;</v>
      </c>
      <c r="AP6" s="23" t="str">
        <f>CONCATENATE("&lt;TR&gt;&lt;TD&gt;",J6,"&lt;TD&gt;",K6,"&lt;/TD&gt;&lt;/TR&gt;")</f>
        <v>&lt;TR&gt;&lt;TD&gt;bye - Nedbálek Michal&lt;TD&gt;&lt;/TD&gt;&lt;/TR&gt;</v>
      </c>
    </row>
    <row r="7" spans="1:42" ht="16.5" customHeight="1">
      <c r="A7" s="26">
        <v>54</v>
      </c>
      <c r="B7" s="32" t="str">
        <f>IF($A7="","",CONCATENATE(VLOOKUP($A7,seznam!$A$2:$B$268,2)," (",VLOOKUP($A7,seznam!$A$2:$E$269,4),")"))</f>
        <v>Nedbálek Michal (Zlín)</v>
      </c>
      <c r="C7" s="36" t="str">
        <f>IF(Y9+Z9=0,"",CONCATENATE(Y9,":",Z9))</f>
        <v>0:3</v>
      </c>
      <c r="D7" s="27" t="str">
        <f>IF(Y5+Z5=0,"",CONCATENATE(Z5,":",Y5))</f>
        <v>0:3</v>
      </c>
      <c r="E7" s="27" t="s">
        <v>30</v>
      </c>
      <c r="F7" s="28">
        <f>IF(Y6+Z6=0,"",CONCATENATE(Z6,":",Y6))</f>
      </c>
      <c r="G7" s="34">
        <f>IF(AF5+AF6+AE9=0,"",AF5+AF6+AE9)</f>
        <v>2</v>
      </c>
      <c r="H7" s="28">
        <v>3</v>
      </c>
      <c r="J7" s="23" t="str">
        <f t="shared" si="0"/>
        <v>Riznychenko Ostap - Svitana Ján</v>
      </c>
      <c r="K7" s="23" t="str">
        <f t="shared" si="1"/>
        <v>3 : 0 (7,9,9)</v>
      </c>
      <c r="M7" s="23" t="str">
        <f>CONCATENATE("2.st. ",úvod!$C$8," - ",M3)</f>
        <v>2.st. YOUNGER CADET BOYS - Skupina A</v>
      </c>
      <c r="N7" s="23">
        <f>A5</f>
        <v>6</v>
      </c>
      <c r="O7" s="23" t="str">
        <f>IF($N7=0,"bye",VLOOKUP($N7,seznam!$A$2:$C$268,2))</f>
        <v>Riznychenko Ostap</v>
      </c>
      <c r="P7" s="23" t="str">
        <f>IF($N7=0,"",VLOOKUP($N7,seznam!$A$2:$D$268,4))</f>
        <v>Dnepropetrovsk (UKR)</v>
      </c>
      <c r="Q7" s="23">
        <f>A6</f>
        <v>44</v>
      </c>
      <c r="R7" s="23" t="str">
        <f>IF($Q7=0,"bye",VLOOKUP($Q7,seznam!$A$2:$C$268,2))</f>
        <v>Svitana Ján</v>
      </c>
      <c r="S7" s="23" t="str">
        <f>IF($Q7=0,"",VLOOKUP($Q7,seznam!$A$2:$D$268,4))</f>
        <v>Trenčianská teplá</v>
      </c>
      <c r="T7" s="58" t="s">
        <v>209</v>
      </c>
      <c r="U7" s="59" t="s">
        <v>213</v>
      </c>
      <c r="V7" s="59" t="s">
        <v>213</v>
      </c>
      <c r="W7" s="59"/>
      <c r="X7" s="60"/>
      <c r="Y7" s="23">
        <f t="shared" si="2"/>
        <v>3</v>
      </c>
      <c r="Z7" s="23">
        <f t="shared" si="3"/>
        <v>0</v>
      </c>
      <c r="AA7" s="23">
        <f t="shared" si="4"/>
        <v>6</v>
      </c>
      <c r="AB7" s="23" t="str">
        <f>IF($AA7=0,"",VLOOKUP($AA7,seznam!$A$2:$C$268,2))</f>
        <v>Riznychenko Ostap</v>
      </c>
      <c r="AC7" s="23" t="str">
        <f t="shared" si="5"/>
        <v>3:0 (7,9,9)</v>
      </c>
      <c r="AD7" s="23" t="str">
        <f t="shared" si="6"/>
        <v>3:0 (7,9,9)</v>
      </c>
      <c r="AE7" s="23">
        <f t="shared" si="7"/>
        <v>2</v>
      </c>
      <c r="AF7" s="23">
        <f t="shared" si="8"/>
        <v>1</v>
      </c>
      <c r="AH7" s="23">
        <f t="shared" si="9"/>
        <v>1</v>
      </c>
      <c r="AI7" s="23">
        <f t="shared" si="9"/>
        <v>1</v>
      </c>
      <c r="AJ7" s="23">
        <f t="shared" si="9"/>
        <v>1</v>
      </c>
      <c r="AK7" s="23">
        <f t="shared" si="9"/>
        <v>0</v>
      </c>
      <c r="AL7" s="23">
        <f t="shared" si="9"/>
        <v>0</v>
      </c>
      <c r="AN7" s="23" t="str">
        <f>CONCATENATE(AP4,AP5,AP6,AP7,AP8,AP9,)</f>
        <v>&lt;TR&gt;&lt;TD width=250&gt;Riznychenko Ostap - bye&lt;TD&gt;&lt;/TD&gt;&lt;/TR&gt;&lt;TR&gt;&lt;TD&gt;Svitana Ján - Nedbálek Michal&lt;TD&gt;3 : 0 (4,4,5)&lt;/TD&gt;&lt;/TR&gt;&lt;TR&gt;&lt;TD&gt;bye - Nedbálek Michal&lt;TD&gt;&lt;/TD&gt;&lt;/TR&gt;&lt;TR&gt;&lt;TD&gt;Riznychenko Ostap - Svitana Ján&lt;TD&gt;3 : 0 (7,9,9)&lt;/TD&gt;&lt;/TR&gt;&lt;TR&gt;&lt;TD&gt;Svitana Ján - bye&lt;TD&gt;&lt;/TD&gt;&lt;/TR&gt;&lt;TR&gt;&lt;TD&gt;Nedbálek Michal - Riznychenko Ostap&lt;TD&gt;0 : 3 (-9,-6,-9)&lt;/TD&gt;&lt;/TR&gt;</v>
      </c>
      <c r="AO7" s="23" t="str">
        <f>CONCATENATE("&lt;TR&gt;&lt;TD&gt;",A7,"&lt;TD width=200&gt;",B7,"&lt;TD&gt;",C7,"&lt;TD&gt;",D7,"&lt;TD&gt;",E7,"&lt;TD&gt;",F7,"&lt;TD&gt;",G7,"&lt;TD&gt;",H7,"&lt;/TD&gt;&lt;/TR&gt;")</f>
        <v>&lt;TR&gt;&lt;TD&gt;54&lt;TD width=200&gt;Nedbálek Michal (Zlín)&lt;TD&gt;0:3&lt;TD&gt;0:3&lt;TD&gt;XXX&lt;TD&gt;&lt;TD&gt;2&lt;TD&gt;3&lt;/TD&gt;&lt;/TR&gt;</v>
      </c>
      <c r="AP7" s="23" t="str">
        <f>CONCATENATE("&lt;TR&gt;&lt;TD&gt;",J7,"&lt;TD&gt;",K7,"&lt;/TD&gt;&lt;/TR&gt;")</f>
        <v>&lt;TR&gt;&lt;TD&gt;Riznychenko Ostap - Svitana Ján&lt;TD&gt;3 : 0 (7,9,9)&lt;/TD&gt;&lt;/TR&gt;</v>
      </c>
    </row>
    <row r="8" spans="1:42" ht="16.5" customHeight="1" thickBot="1">
      <c r="A8" s="29"/>
      <c r="B8" s="33">
        <f>IF($A8="","",CONCATENATE(VLOOKUP($A8,seznam!$A$2:$B$268,2)," (",VLOOKUP($A8,seznam!$A$2:$E$269,4),")"))</f>
      </c>
      <c r="C8" s="37">
        <f>IF(Y4+Z4=0,"",CONCATENATE(Z4,":",Y4))</f>
      </c>
      <c r="D8" s="30">
        <f>IF(Y8+Z8=0,"",CONCATENATE(Z8,":",Y8))</f>
      </c>
      <c r="E8" s="30">
        <f>IF(Y6+Z6=0,"",CONCATENATE(Y6,":",Z6))</f>
      </c>
      <c r="F8" s="31" t="s">
        <v>30</v>
      </c>
      <c r="G8" s="35">
        <f>IF(AF4+AE6+AF8=0,"",AF4+AE6+AF8)</f>
      </c>
      <c r="H8" s="31"/>
      <c r="J8" s="23" t="str">
        <f t="shared" si="0"/>
        <v>Svitana Ján - bye</v>
      </c>
      <c r="K8" s="23">
        <f t="shared" si="1"/>
      </c>
      <c r="M8" s="23" t="str">
        <f>CONCATENATE("2.st. ",úvod!$C$8," - ",M3)</f>
        <v>2.st. YOUNGER CADET BOYS - Skupina A</v>
      </c>
      <c r="N8" s="23">
        <f>A6</f>
        <v>44</v>
      </c>
      <c r="O8" s="23" t="str">
        <f>IF($N8=0,"bye",VLOOKUP($N8,seznam!$A$2:$C$268,2))</f>
        <v>Svitana Ján</v>
      </c>
      <c r="P8" s="23" t="str">
        <f>IF($N8=0,"",VLOOKUP($N8,seznam!$A$2:$D$268,4))</f>
        <v>Trenčianská teplá</v>
      </c>
      <c r="Q8" s="23">
        <f>A8</f>
        <v>0</v>
      </c>
      <c r="R8" s="23" t="str">
        <f>IF($Q8=0,"bye",VLOOKUP($Q8,seznam!$A$2:$C$268,2))</f>
        <v>bye</v>
      </c>
      <c r="S8" s="23">
        <f>IF($Q8=0,"",VLOOKUP($Q8,seznam!$A$2:$D$268,4))</f>
      </c>
      <c r="T8" s="58"/>
      <c r="U8" s="59"/>
      <c r="V8" s="59"/>
      <c r="W8" s="59"/>
      <c r="X8" s="60"/>
      <c r="Y8" s="23">
        <f t="shared" si="2"/>
        <v>0</v>
      </c>
      <c r="Z8" s="23">
        <f t="shared" si="3"/>
        <v>0</v>
      </c>
      <c r="AA8" s="23">
        <f t="shared" si="4"/>
        <v>0</v>
      </c>
      <c r="AB8" s="23">
        <f>IF($AA8=0,"",VLOOKUP($AA8,seznam!$A$2:$C$268,2))</f>
      </c>
      <c r="AC8" s="23">
        <f t="shared" si="5"/>
      </c>
      <c r="AD8" s="23">
        <f t="shared" si="6"/>
      </c>
      <c r="AE8" s="23">
        <f t="shared" si="7"/>
        <v>0</v>
      </c>
      <c r="AF8" s="23">
        <f t="shared" si="8"/>
        <v>0</v>
      </c>
      <c r="AH8" s="23">
        <f t="shared" si="9"/>
        <v>0</v>
      </c>
      <c r="AI8" s="23">
        <f t="shared" si="9"/>
        <v>0</v>
      </c>
      <c r="AJ8" s="23">
        <f t="shared" si="9"/>
        <v>0</v>
      </c>
      <c r="AK8" s="23">
        <f t="shared" si="9"/>
        <v>0</v>
      </c>
      <c r="AL8" s="23">
        <f t="shared" si="9"/>
        <v>0</v>
      </c>
      <c r="AN8" s="23" t="str">
        <f>CONCATENATE("&lt;/Table&gt;&lt;/TD&gt;&lt;/TR&gt;&lt;/Table&gt;&lt;P&gt;")</f>
        <v>&lt;/Table&gt;&lt;/TD&gt;&lt;/TR&gt;&lt;/Table&gt;&lt;P&gt;</v>
      </c>
      <c r="AO8" s="23" t="str">
        <f>CONCATENATE("&lt;TR&gt;&lt;TD&gt;",A8,"&lt;TD width=200&gt;",B8,"&lt;TD&gt;",C8,"&lt;TD&gt;",D8,"&lt;TD&gt;",E8,"&lt;TD&gt;",F8,"&lt;TD&gt;",G8,"&lt;TD&gt;",H8,"&lt;/TD&gt;&lt;/TR&gt;")</f>
        <v>&lt;TR&gt;&lt;TD&gt;&lt;TD width=200&gt;&lt;TD&gt;&lt;TD&gt;&lt;TD&gt;&lt;TD&gt;XXX&lt;TD&gt;&lt;TD&gt;&lt;/TD&gt;&lt;/TR&gt;</v>
      </c>
      <c r="AP8" s="23" t="str">
        <f>CONCATENATE("&lt;TR&gt;&lt;TD&gt;",J8,"&lt;TD&gt;",K8,"&lt;/TD&gt;&lt;/TR&gt;")</f>
        <v>&lt;TR&gt;&lt;TD&gt;Svitana Ján - bye&lt;TD&gt;&lt;/TD&gt;&lt;/TR&gt;</v>
      </c>
    </row>
    <row r="9" spans="10:42" ht="16.5" customHeight="1" thickBot="1" thickTop="1">
      <c r="J9" s="23" t="str">
        <f t="shared" si="0"/>
        <v>Nedbálek Michal - Riznychenko Ostap</v>
      </c>
      <c r="K9" s="23" t="str">
        <f t="shared" si="1"/>
        <v>0 : 3 (-9,-6,-9)</v>
      </c>
      <c r="M9" s="23" t="str">
        <f>CONCATENATE("2.st. ",úvod!$C$8," - ",M3)</f>
        <v>2.st. YOUNGER CADET BOYS - Skupina A</v>
      </c>
      <c r="N9" s="23">
        <f>A7</f>
        <v>54</v>
      </c>
      <c r="O9" s="23" t="str">
        <f>IF($N9=0,"bye",VLOOKUP($N9,seznam!$A$2:$C$268,2))</f>
        <v>Nedbálek Michal</v>
      </c>
      <c r="P9" s="23" t="str">
        <f>IF($N9=0,"",VLOOKUP($N9,seznam!$A$2:$D$268,4))</f>
        <v>Zlín</v>
      </c>
      <c r="Q9" s="23">
        <f>A5</f>
        <v>6</v>
      </c>
      <c r="R9" s="23" t="str">
        <f>IF($Q9=0,"bye",VLOOKUP($Q9,seznam!$A$2:$C$268,2))</f>
        <v>Riznychenko Ostap</v>
      </c>
      <c r="S9" s="23" t="str">
        <f>IF($Q9=0,"",VLOOKUP($Q9,seznam!$A$2:$D$268,4))</f>
        <v>Dnepropetrovsk (UKR)</v>
      </c>
      <c r="T9" s="61" t="s">
        <v>207</v>
      </c>
      <c r="U9" s="62" t="s">
        <v>221</v>
      </c>
      <c r="V9" s="62" t="s">
        <v>207</v>
      </c>
      <c r="W9" s="62"/>
      <c r="X9" s="63"/>
      <c r="Y9" s="23">
        <f t="shared" si="2"/>
        <v>0</v>
      </c>
      <c r="Z9" s="23">
        <f t="shared" si="3"/>
        <v>3</v>
      </c>
      <c r="AA9" s="23">
        <f t="shared" si="4"/>
        <v>6</v>
      </c>
      <c r="AB9" s="23" t="str">
        <f>IF($AA9=0,"",VLOOKUP($AA9,seznam!$A$2:$C$268,2))</f>
        <v>Riznychenko Ostap</v>
      </c>
      <c r="AC9" s="23" t="str">
        <f t="shared" si="5"/>
        <v>3:0 (9,6,9)</v>
      </c>
      <c r="AD9" s="23" t="str">
        <f t="shared" si="6"/>
        <v>3:0 (9,6,9)</v>
      </c>
      <c r="AE9" s="23">
        <f t="shared" si="7"/>
        <v>1</v>
      </c>
      <c r="AF9" s="23">
        <f t="shared" si="8"/>
        <v>2</v>
      </c>
      <c r="AH9" s="23">
        <f t="shared" si="9"/>
        <v>-1</v>
      </c>
      <c r="AI9" s="23">
        <f t="shared" si="9"/>
        <v>-1</v>
      </c>
      <c r="AJ9" s="23">
        <f t="shared" si="9"/>
        <v>-1</v>
      </c>
      <c r="AK9" s="23">
        <f t="shared" si="9"/>
        <v>0</v>
      </c>
      <c r="AL9" s="23">
        <f t="shared" si="9"/>
        <v>0</v>
      </c>
      <c r="AP9" s="23" t="str">
        <f>CONCATENATE("&lt;TR&gt;&lt;TD&gt;",J9,"&lt;TD&gt;",K9,"&lt;/TD&gt;&lt;/TR&gt;")</f>
        <v>&lt;TR&gt;&lt;TD&gt;Nedbálek Michal - Riznychenko Ostap&lt;TD&gt;0 : 3 (-9,-6,-9)&lt;/TD&gt;&lt;/TR&gt;</v>
      </c>
    </row>
    <row r="10" spans="13:40" ht="16.5" customHeight="1" thickBot="1" thickTop="1">
      <c r="M10" s="24" t="str">
        <f>B11</f>
        <v>Skupina B</v>
      </c>
      <c r="N10" s="24" t="s">
        <v>0</v>
      </c>
      <c r="O10" s="24" t="s">
        <v>1</v>
      </c>
      <c r="P10" s="24" t="s">
        <v>2</v>
      </c>
      <c r="Q10" s="24" t="s">
        <v>0</v>
      </c>
      <c r="R10" s="24" t="s">
        <v>3</v>
      </c>
      <c r="S10" s="24" t="s">
        <v>2</v>
      </c>
      <c r="T10" s="25" t="s">
        <v>4</v>
      </c>
      <c r="U10" s="25" t="s">
        <v>5</v>
      </c>
      <c r="V10" s="25" t="s">
        <v>6</v>
      </c>
      <c r="W10" s="25" t="s">
        <v>7</v>
      </c>
      <c r="X10" s="25" t="s">
        <v>8</v>
      </c>
      <c r="Y10" s="24" t="s">
        <v>9</v>
      </c>
      <c r="Z10" s="24" t="s">
        <v>10</v>
      </c>
      <c r="AA10" s="24" t="s">
        <v>11</v>
      </c>
      <c r="AN10" s="23" t="s">
        <v>16</v>
      </c>
    </row>
    <row r="11" spans="1:42" ht="16.5" customHeight="1" thickBot="1" thickTop="1">
      <c r="A11" s="44"/>
      <c r="B11" s="45" t="s">
        <v>19</v>
      </c>
      <c r="C11" s="46">
        <v>1</v>
      </c>
      <c r="D11" s="47">
        <v>2</v>
      </c>
      <c r="E11" s="47">
        <v>3</v>
      </c>
      <c r="F11" s="48">
        <v>4</v>
      </c>
      <c r="G11" s="49" t="s">
        <v>14</v>
      </c>
      <c r="H11" s="48" t="s">
        <v>15</v>
      </c>
      <c r="J11" s="23" t="str">
        <f aca="true" t="shared" si="10" ref="J11:J16">CONCATENATE(O11," - ",R11)</f>
        <v>Lapčík Ondřej - bye</v>
      </c>
      <c r="K11" s="23">
        <f aca="true" t="shared" si="11" ref="K11:K16">IF(SUM(Y11:Z11)=0,AD11,CONCATENATE(Y11," : ",Z11," (",T11,",",U11,",",V11,IF(Y11+Z11&gt;3,",",""),W11,IF(Y11+Z11&gt;4,",",""),X11,")"))</f>
      </c>
      <c r="M11" s="23" t="str">
        <f>CONCATENATE("2.st. ",úvod!$C$8," - ",M10)</f>
        <v>2.st. YOUNGER CADET BOYS - Skupina B</v>
      </c>
      <c r="N11" s="23">
        <f>A12</f>
        <v>58</v>
      </c>
      <c r="O11" s="23" t="str">
        <f>IF($N11=0,"bye",VLOOKUP($N11,seznam!$A$2:$C$268,2))</f>
        <v>Lapčík Ondřej</v>
      </c>
      <c r="P11" s="23" t="str">
        <f>IF($N11=0,"",VLOOKUP($N11,seznam!$A$2:$D$268,4))</f>
        <v>Zlín </v>
      </c>
      <c r="Q11" s="23">
        <f>A15</f>
        <v>0</v>
      </c>
      <c r="R11" s="23" t="str">
        <f>IF($Q11=0,"bye",VLOOKUP($Q11,seznam!$A$2:$C$268,2))</f>
        <v>bye</v>
      </c>
      <c r="S11" s="23">
        <f>IF($Q11=0,"",VLOOKUP($Q11,seznam!$A$2:$D$268,4))</f>
      </c>
      <c r="T11" s="55"/>
      <c r="U11" s="56"/>
      <c r="V11" s="56"/>
      <c r="W11" s="56"/>
      <c r="X11" s="57"/>
      <c r="Y11" s="23">
        <f aca="true" t="shared" si="12" ref="Y11:Y16">COUNTIF(AH11:AL11,"&gt;0")</f>
        <v>0</v>
      </c>
      <c r="Z11" s="23">
        <f aca="true" t="shared" si="13" ref="Z11:Z16">COUNTIF(AH11:AL11,"&lt;0")</f>
        <v>0</v>
      </c>
      <c r="AA11" s="23">
        <f aca="true" t="shared" si="14" ref="AA11:AA16">IF(Y11=Z11,0,IF(Y11&gt;Z11,N11,Q11))</f>
        <v>0</v>
      </c>
      <c r="AB11" s="23">
        <f>IF($AA11=0,"",VLOOKUP($AA11,seznam!$A$2:$C$268,2))</f>
      </c>
      <c r="AC11" s="23">
        <f aca="true" t="shared" si="15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</c>
      <c r="AD11" s="23">
        <f aca="true" t="shared" si="16" ref="AD11:AD16">IF(SUM(Y11:Z11)=0,"",AC11)</f>
      </c>
      <c r="AE11" s="23">
        <f aca="true" t="shared" si="17" ref="AE11:AE16">IF(T11="",0,IF(Y11&gt;Z11,2,1))</f>
        <v>0</v>
      </c>
      <c r="AF11" s="23">
        <f aca="true" t="shared" si="18" ref="AF11:AF16">IF(T11="",0,IF(Z11&gt;Y11,2,1))</f>
        <v>0</v>
      </c>
      <c r="AH11" s="23">
        <f aca="true" t="shared" si="19" ref="AH11:AL16">IF(T11="",0,IF(MID(T11,1,1)="-",-1,1))</f>
        <v>0</v>
      </c>
      <c r="AI11" s="23">
        <f t="shared" si="19"/>
        <v>0</v>
      </c>
      <c r="AJ11" s="23">
        <f t="shared" si="19"/>
        <v>0</v>
      </c>
      <c r="AK11" s="23">
        <f t="shared" si="19"/>
        <v>0</v>
      </c>
      <c r="AL11" s="23">
        <f t="shared" si="19"/>
        <v>0</v>
      </c>
      <c r="AN11" s="23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23" t="str">
        <f>CONCATENATE("&lt;TR&gt;&lt;TD width=250&gt;",J11,"&lt;TD&gt;",K11,"&lt;/TD&gt;&lt;/TR&gt;")</f>
        <v>&lt;TR&gt;&lt;TD width=250&gt;Lapčík Ondřej - bye&lt;TD&gt;&lt;/TD&gt;&lt;/TR&gt;</v>
      </c>
    </row>
    <row r="12" spans="1:42" ht="16.5" customHeight="1" thickTop="1">
      <c r="A12" s="38">
        <v>58</v>
      </c>
      <c r="B12" s="39" t="str">
        <f>IF($A12="","",CONCATENATE(VLOOKUP($A12,seznam!$A$2:$B$268,2)," (",VLOOKUP($A12,seznam!$A$2:$E$269,4),")"))</f>
        <v>Lapčík Ondřej (Zlín )</v>
      </c>
      <c r="C12" s="40" t="s">
        <v>30</v>
      </c>
      <c r="D12" s="41" t="str">
        <f>IF(Y14+Z14=0,"",CONCATENATE(Y14,":",Z14))</f>
        <v>3:0</v>
      </c>
      <c r="E12" s="41" t="str">
        <f>IF(Y16+Z16=0,"",CONCATENATE(Z16,":",Y16))</f>
        <v>3:0</v>
      </c>
      <c r="F12" s="42">
        <f>IF(Y11+Z11=0,"",CONCATENATE(Y11,":",Z11))</f>
      </c>
      <c r="G12" s="43">
        <f>IF(AE11+AE14+AF16=0,"",AE11+AE14+AF16)</f>
        <v>4</v>
      </c>
      <c r="H12" s="42">
        <v>1</v>
      </c>
      <c r="J12" s="23" t="str">
        <f t="shared" si="10"/>
        <v>Bartoš Martin  - Hudec Alexander</v>
      </c>
      <c r="K12" s="23" t="str">
        <f t="shared" si="11"/>
        <v>0 : 3 (-11,-9,-4)</v>
      </c>
      <c r="M12" s="23" t="str">
        <f>CONCATENATE("2.st. ",úvod!$C$8," - ",M10)</f>
        <v>2.st. YOUNGER CADET BOYS - Skupina B</v>
      </c>
      <c r="N12" s="23">
        <f>A13</f>
        <v>11</v>
      </c>
      <c r="O12" s="23" t="str">
        <f>IF($N12=0,"bye",VLOOKUP($N12,seznam!$A$2:$C$268,2))</f>
        <v>Bartoš Martin </v>
      </c>
      <c r="P12" s="23" t="str">
        <f>IF($N12=0,"",VLOOKUP($N12,seznam!$A$2:$D$268,4))</f>
        <v>Hluk</v>
      </c>
      <c r="Q12" s="23">
        <f>A14</f>
        <v>46</v>
      </c>
      <c r="R12" s="23" t="str">
        <f>IF($Q12=0,"bye",VLOOKUP($Q12,seznam!$A$2:$C$268,2))</f>
        <v>Hudec Alexander</v>
      </c>
      <c r="S12" s="23" t="str">
        <f>IF($Q12=0,"",VLOOKUP($Q12,seznam!$A$2:$D$268,4))</f>
        <v>Trenčín 2</v>
      </c>
      <c r="T12" s="58" t="s">
        <v>223</v>
      </c>
      <c r="U12" s="59" t="s">
        <v>207</v>
      </c>
      <c r="V12" s="59" t="s">
        <v>225</v>
      </c>
      <c r="W12" s="59"/>
      <c r="X12" s="60"/>
      <c r="Y12" s="23">
        <f t="shared" si="12"/>
        <v>0</v>
      </c>
      <c r="Z12" s="23">
        <f t="shared" si="13"/>
        <v>3</v>
      </c>
      <c r="AA12" s="23">
        <f t="shared" si="14"/>
        <v>46</v>
      </c>
      <c r="AB12" s="23" t="str">
        <f>IF($AA12=0,"",VLOOKUP($AA12,seznam!$A$2:$C$268,2))</f>
        <v>Hudec Alexander</v>
      </c>
      <c r="AC12" s="23" t="str">
        <f t="shared" si="15"/>
        <v>3:0 (11,9,4)</v>
      </c>
      <c r="AD12" s="23" t="str">
        <f t="shared" si="16"/>
        <v>3:0 (11,9,4)</v>
      </c>
      <c r="AE12" s="23">
        <f t="shared" si="17"/>
        <v>1</v>
      </c>
      <c r="AF12" s="23">
        <f t="shared" si="18"/>
        <v>2</v>
      </c>
      <c r="AH12" s="23">
        <f t="shared" si="19"/>
        <v>-1</v>
      </c>
      <c r="AI12" s="23">
        <f t="shared" si="19"/>
        <v>-1</v>
      </c>
      <c r="AJ12" s="23">
        <f t="shared" si="19"/>
        <v>-1</v>
      </c>
      <c r="AK12" s="23">
        <f t="shared" si="19"/>
        <v>0</v>
      </c>
      <c r="AL12" s="23">
        <f t="shared" si="19"/>
        <v>0</v>
      </c>
      <c r="AN12" s="23" t="str">
        <f>CONCATENATE(AO12,AO13,AO14,AO15,)</f>
        <v>&lt;TR&gt;&lt;TD&gt;58&lt;TD width=200&gt;Lapčík Ondřej (Zlín )&lt;TD&gt;XXX&lt;TD&gt;3:0&lt;TD&gt;3:0&lt;TD&gt;&lt;TD&gt;4&lt;TD&gt;1&lt;/TD&gt;&lt;/TR&gt;&lt;TR&gt;&lt;TD&gt;11&lt;TD width=200&gt;Bartoš Martin  (Hluk)&lt;TD&gt;0:3&lt;TD&gt;XXX&lt;TD&gt;0:3&lt;TD&gt;&lt;TD&gt;2&lt;TD&gt;3&lt;/TD&gt;&lt;/TR&gt;&lt;TR&gt;&lt;TD&gt;46&lt;TD width=200&gt;Hudec Alexander (Trenčín 2)&lt;TD&gt;0:3&lt;TD&gt;3:0&lt;TD&gt;XXX&lt;TD&gt;&lt;TD&gt;3&lt;TD&gt;2&lt;/TD&gt;&lt;/TR&gt;&lt;TR&gt;&lt;TD&gt;&lt;TD width=200&gt;&lt;TD&gt;&lt;TD&gt;&lt;TD&gt;&lt;TD&gt;XXX&lt;TD&gt;&lt;TD&gt;&lt;/TD&gt;&lt;/TR&gt;</v>
      </c>
      <c r="AO12" s="23" t="str">
        <f>CONCATENATE("&lt;TR&gt;&lt;TD&gt;",A12,"&lt;TD width=200&gt;",B12,"&lt;TD&gt;",C12,"&lt;TD&gt;",D12,"&lt;TD&gt;",E12,"&lt;TD&gt;",F12,"&lt;TD&gt;",G12,"&lt;TD&gt;",H12,"&lt;/TD&gt;&lt;/TR&gt;")</f>
        <v>&lt;TR&gt;&lt;TD&gt;58&lt;TD width=200&gt;Lapčík Ondřej (Zlín )&lt;TD&gt;XXX&lt;TD&gt;3:0&lt;TD&gt;3:0&lt;TD&gt;&lt;TD&gt;4&lt;TD&gt;1&lt;/TD&gt;&lt;/TR&gt;</v>
      </c>
      <c r="AP12" s="23" t="str">
        <f>CONCATENATE("&lt;TR&gt;&lt;TD&gt;",J12,"&lt;TD&gt;",K12,"&lt;/TD&gt;&lt;/TR&gt;")</f>
        <v>&lt;TR&gt;&lt;TD&gt;Bartoš Martin  - Hudec Alexander&lt;TD&gt;0 : 3 (-11,-9,-4)&lt;/TD&gt;&lt;/TR&gt;</v>
      </c>
    </row>
    <row r="13" spans="1:42" ht="16.5" customHeight="1">
      <c r="A13" s="26">
        <v>11</v>
      </c>
      <c r="B13" s="32" t="str">
        <f>IF($A13="","",CONCATENATE(VLOOKUP($A13,seznam!$A$2:$B$268,2)," (",VLOOKUP($A13,seznam!$A$2:$E$269,4),")"))</f>
        <v>Bartoš Martin  (Hluk)</v>
      </c>
      <c r="C13" s="36" t="str">
        <f>IF(Y14+Z14=0,"",CONCATENATE(Z14,":",Y14))</f>
        <v>0:3</v>
      </c>
      <c r="D13" s="27" t="s">
        <v>30</v>
      </c>
      <c r="E13" s="27" t="str">
        <f>IF(Y12+Z12=0,"",CONCATENATE(Y12,":",Z12))</f>
        <v>0:3</v>
      </c>
      <c r="F13" s="28">
        <f>IF(Y15+Z15=0,"",CONCATENATE(Y15,":",Z15))</f>
      </c>
      <c r="G13" s="34">
        <f>IF(AE12+AF14+AE15=0,"",AE12+AF14+AE15)</f>
        <v>2</v>
      </c>
      <c r="H13" s="28">
        <v>3</v>
      </c>
      <c r="J13" s="23" t="str">
        <f t="shared" si="10"/>
        <v>bye - Hudec Alexander</v>
      </c>
      <c r="K13" s="23">
        <f t="shared" si="11"/>
      </c>
      <c r="M13" s="23" t="str">
        <f>CONCATENATE("2.st. ",úvod!$C$8," - ",M10)</f>
        <v>2.st. YOUNGER CADET BOYS - Skupina B</v>
      </c>
      <c r="N13" s="23">
        <f>A15</f>
        <v>0</v>
      </c>
      <c r="O13" s="23" t="str">
        <f>IF($N13=0,"bye",VLOOKUP($N13,seznam!$A$2:$C$268,2))</f>
        <v>bye</v>
      </c>
      <c r="P13" s="23">
        <f>IF($N13=0,"",VLOOKUP($N13,seznam!$A$2:$D$268,4))</f>
      </c>
      <c r="Q13" s="23">
        <f>A14</f>
        <v>46</v>
      </c>
      <c r="R13" s="23" t="str">
        <f>IF($Q13=0,"bye",VLOOKUP($Q13,seznam!$A$2:$C$268,2))</f>
        <v>Hudec Alexander</v>
      </c>
      <c r="S13" s="23" t="str">
        <f>IF($Q13=0,"",VLOOKUP($Q13,seznam!$A$2:$D$268,4))</f>
        <v>Trenčín 2</v>
      </c>
      <c r="T13" s="58"/>
      <c r="U13" s="59"/>
      <c r="V13" s="59"/>
      <c r="W13" s="59"/>
      <c r="X13" s="60"/>
      <c r="Y13" s="23">
        <f t="shared" si="12"/>
        <v>0</v>
      </c>
      <c r="Z13" s="23">
        <f t="shared" si="13"/>
        <v>0</v>
      </c>
      <c r="AA13" s="23">
        <f t="shared" si="14"/>
        <v>0</v>
      </c>
      <c r="AB13" s="23">
        <f>IF($AA13=0,"",VLOOKUP($AA13,seznam!$A$2:$C$268,2))</f>
      </c>
      <c r="AC13" s="23">
        <f t="shared" si="15"/>
      </c>
      <c r="AD13" s="23">
        <f t="shared" si="16"/>
      </c>
      <c r="AE13" s="23">
        <f t="shared" si="17"/>
        <v>0</v>
      </c>
      <c r="AF13" s="23">
        <f t="shared" si="18"/>
        <v>0</v>
      </c>
      <c r="AH13" s="23">
        <f t="shared" si="19"/>
        <v>0</v>
      </c>
      <c r="AI13" s="23">
        <f t="shared" si="19"/>
        <v>0</v>
      </c>
      <c r="AJ13" s="23">
        <f t="shared" si="19"/>
        <v>0</v>
      </c>
      <c r="AK13" s="23">
        <f t="shared" si="19"/>
        <v>0</v>
      </c>
      <c r="AL13" s="23">
        <f t="shared" si="19"/>
        <v>0</v>
      </c>
      <c r="AN13" s="23" t="str">
        <f>CONCATENATE("&lt;/Table&gt;&lt;TD width=420&gt;&lt;Table&gt;")</f>
        <v>&lt;/Table&gt;&lt;TD width=420&gt;&lt;Table&gt;</v>
      </c>
      <c r="AO13" s="23" t="str">
        <f>CONCATENATE("&lt;TR&gt;&lt;TD&gt;",A13,"&lt;TD width=200&gt;",B13,"&lt;TD&gt;",C13,"&lt;TD&gt;",D13,"&lt;TD&gt;",E13,"&lt;TD&gt;",F13,"&lt;TD&gt;",G13,"&lt;TD&gt;",H13,"&lt;/TD&gt;&lt;/TR&gt;")</f>
        <v>&lt;TR&gt;&lt;TD&gt;11&lt;TD width=200&gt;Bartoš Martin  (Hluk)&lt;TD&gt;0:3&lt;TD&gt;XXX&lt;TD&gt;0:3&lt;TD&gt;&lt;TD&gt;2&lt;TD&gt;3&lt;/TD&gt;&lt;/TR&gt;</v>
      </c>
      <c r="AP13" s="23" t="str">
        <f>CONCATENATE("&lt;TR&gt;&lt;TD&gt;",J13,"&lt;TD&gt;",K13,"&lt;/TD&gt;&lt;/TR&gt;")</f>
        <v>&lt;TR&gt;&lt;TD&gt;bye - Hudec Alexander&lt;TD&gt;&lt;/TD&gt;&lt;/TR&gt;</v>
      </c>
    </row>
    <row r="14" spans="1:42" ht="16.5" customHeight="1">
      <c r="A14" s="26">
        <v>46</v>
      </c>
      <c r="B14" s="32" t="str">
        <f>IF($A14="","",CONCATENATE(VLOOKUP($A14,seznam!$A$2:$B$268,2)," (",VLOOKUP($A14,seznam!$A$2:$E$269,4),")"))</f>
        <v>Hudec Alexander (Trenčín 2)</v>
      </c>
      <c r="C14" s="36" t="str">
        <f>IF(Y16+Z16=0,"",CONCATENATE(Y16,":",Z16))</f>
        <v>0:3</v>
      </c>
      <c r="D14" s="27" t="str">
        <f>IF(Y12+Z12=0,"",CONCATENATE(Z12,":",Y12))</f>
        <v>3:0</v>
      </c>
      <c r="E14" s="27" t="s">
        <v>30</v>
      </c>
      <c r="F14" s="28">
        <f>IF(Y13+Z13=0,"",CONCATENATE(Z13,":",Y13))</f>
      </c>
      <c r="G14" s="34">
        <f>IF(AF12+AF13+AE16=0,"",AF12+AF13+AE16)</f>
        <v>3</v>
      </c>
      <c r="H14" s="28">
        <v>2</v>
      </c>
      <c r="J14" s="23" t="str">
        <f t="shared" si="10"/>
        <v>Lapčík Ondřej - Bartoš Martin </v>
      </c>
      <c r="K14" s="23" t="str">
        <f t="shared" si="11"/>
        <v>3 : 0 (5,6,4)</v>
      </c>
      <c r="M14" s="23" t="str">
        <f>CONCATENATE("2.st. ",úvod!$C$8," - ",M10)</f>
        <v>2.st. YOUNGER CADET BOYS - Skupina B</v>
      </c>
      <c r="N14" s="23">
        <f>A12</f>
        <v>58</v>
      </c>
      <c r="O14" s="23" t="str">
        <f>IF($N14=0,"bye",VLOOKUP($N14,seznam!$A$2:$C$268,2))</f>
        <v>Lapčík Ondřej</v>
      </c>
      <c r="P14" s="23" t="str">
        <f>IF($N14=0,"",VLOOKUP($N14,seznam!$A$2:$D$268,4))</f>
        <v>Zlín </v>
      </c>
      <c r="Q14" s="23">
        <f>A13</f>
        <v>11</v>
      </c>
      <c r="R14" s="23" t="str">
        <f>IF($Q14=0,"bye",VLOOKUP($Q14,seznam!$A$2:$C$268,2))</f>
        <v>Bartoš Martin </v>
      </c>
      <c r="S14" s="23" t="str">
        <f>IF($Q14=0,"",VLOOKUP($Q14,seznam!$A$2:$D$268,4))</f>
        <v>Hluk</v>
      </c>
      <c r="T14" s="58" t="s">
        <v>211</v>
      </c>
      <c r="U14" s="59" t="s">
        <v>210</v>
      </c>
      <c r="V14" s="59" t="s">
        <v>220</v>
      </c>
      <c r="W14" s="59"/>
      <c r="X14" s="60"/>
      <c r="Y14" s="23">
        <f t="shared" si="12"/>
        <v>3</v>
      </c>
      <c r="Z14" s="23">
        <f t="shared" si="13"/>
        <v>0</v>
      </c>
      <c r="AA14" s="23">
        <f t="shared" si="14"/>
        <v>58</v>
      </c>
      <c r="AB14" s="23" t="str">
        <f>IF($AA14=0,"",VLOOKUP($AA14,seznam!$A$2:$C$268,2))</f>
        <v>Lapčík Ondřej</v>
      </c>
      <c r="AC14" s="23" t="str">
        <f t="shared" si="15"/>
        <v>3:0 (5,6,4)</v>
      </c>
      <c r="AD14" s="23" t="str">
        <f t="shared" si="16"/>
        <v>3:0 (5,6,4)</v>
      </c>
      <c r="AE14" s="23">
        <f t="shared" si="17"/>
        <v>2</v>
      </c>
      <c r="AF14" s="23">
        <f t="shared" si="18"/>
        <v>1</v>
      </c>
      <c r="AH14" s="23">
        <f t="shared" si="19"/>
        <v>1</v>
      </c>
      <c r="AI14" s="23">
        <f t="shared" si="19"/>
        <v>1</v>
      </c>
      <c r="AJ14" s="23">
        <f t="shared" si="19"/>
        <v>1</v>
      </c>
      <c r="AK14" s="23">
        <f t="shared" si="19"/>
        <v>0</v>
      </c>
      <c r="AL14" s="23">
        <f t="shared" si="19"/>
        <v>0</v>
      </c>
      <c r="AN14" s="23" t="str">
        <f>CONCATENATE(AP11,AP12,AP13,AP14,AP15,AP16,)</f>
        <v>&lt;TR&gt;&lt;TD width=250&gt;Lapčík Ondřej - bye&lt;TD&gt;&lt;/TD&gt;&lt;/TR&gt;&lt;TR&gt;&lt;TD&gt;Bartoš Martin  - Hudec Alexander&lt;TD&gt;0 : 3 (-11,-9,-4)&lt;/TD&gt;&lt;/TR&gt;&lt;TR&gt;&lt;TD&gt;bye - Hudec Alexander&lt;TD&gt;&lt;/TD&gt;&lt;/TR&gt;&lt;TR&gt;&lt;TD&gt;Lapčík Ondřej - Bartoš Martin &lt;TD&gt;3 : 0 (5,6,4)&lt;/TD&gt;&lt;/TR&gt;&lt;TR&gt;&lt;TD&gt;Bartoš Martin  - bye&lt;TD&gt;&lt;/TD&gt;&lt;/TR&gt;&lt;TR&gt;&lt;TD&gt;Hudec Alexander - Lapčík Ondřej&lt;TD&gt;0 : 3 (-8,-6,-6)&lt;/TD&gt;&lt;/TR&gt;</v>
      </c>
      <c r="AO14" s="23" t="str">
        <f>CONCATENATE("&lt;TR&gt;&lt;TD&gt;",A14,"&lt;TD width=200&gt;",B14,"&lt;TD&gt;",C14,"&lt;TD&gt;",D14,"&lt;TD&gt;",E14,"&lt;TD&gt;",F14,"&lt;TD&gt;",G14,"&lt;TD&gt;",H14,"&lt;/TD&gt;&lt;/TR&gt;")</f>
        <v>&lt;TR&gt;&lt;TD&gt;46&lt;TD width=200&gt;Hudec Alexander (Trenčín 2)&lt;TD&gt;0:3&lt;TD&gt;3:0&lt;TD&gt;XXX&lt;TD&gt;&lt;TD&gt;3&lt;TD&gt;2&lt;/TD&gt;&lt;/TR&gt;</v>
      </c>
      <c r="AP14" s="23" t="str">
        <f>CONCATENATE("&lt;TR&gt;&lt;TD&gt;",J14,"&lt;TD&gt;",K14,"&lt;/TD&gt;&lt;/TR&gt;")</f>
        <v>&lt;TR&gt;&lt;TD&gt;Lapčík Ondřej - Bartoš Martin &lt;TD&gt;3 : 0 (5,6,4)&lt;/TD&gt;&lt;/TR&gt;</v>
      </c>
    </row>
    <row r="15" spans="1:42" ht="16.5" customHeight="1" thickBot="1">
      <c r="A15" s="29"/>
      <c r="B15" s="33">
        <f>IF($A15="","",CONCATENATE(VLOOKUP($A15,seznam!$A$2:$B$268,2)," (",VLOOKUP($A15,seznam!$A$2:$E$269,4),")"))</f>
      </c>
      <c r="C15" s="37">
        <f>IF(Y11+Z11=0,"",CONCATENATE(Z11,":",Y11))</f>
      </c>
      <c r="D15" s="30">
        <f>IF(Y15+Z15=0,"",CONCATENATE(Z15,":",Y15))</f>
      </c>
      <c r="E15" s="30">
        <f>IF(Y13+Z13=0,"",CONCATENATE(Y13,":",Z13))</f>
      </c>
      <c r="F15" s="31" t="s">
        <v>30</v>
      </c>
      <c r="G15" s="35">
        <f>IF(AF11+AE13+AF15=0,"",AF11+AE13+AF15)</f>
      </c>
      <c r="H15" s="31"/>
      <c r="J15" s="23" t="str">
        <f t="shared" si="10"/>
        <v>Bartoš Martin  - bye</v>
      </c>
      <c r="K15" s="23">
        <f t="shared" si="11"/>
      </c>
      <c r="M15" s="23" t="str">
        <f>CONCATENATE("2.st. ",úvod!$C$8," - ",M10)</f>
        <v>2.st. YOUNGER CADET BOYS - Skupina B</v>
      </c>
      <c r="N15" s="23">
        <f>A13</f>
        <v>11</v>
      </c>
      <c r="O15" s="23" t="str">
        <f>IF($N15=0,"bye",VLOOKUP($N15,seznam!$A$2:$C$268,2))</f>
        <v>Bartoš Martin </v>
      </c>
      <c r="P15" s="23" t="str">
        <f>IF($N15=0,"",VLOOKUP($N15,seznam!$A$2:$D$268,4))</f>
        <v>Hluk</v>
      </c>
      <c r="Q15" s="23">
        <f>A15</f>
        <v>0</v>
      </c>
      <c r="R15" s="23" t="str">
        <f>IF($Q15=0,"bye",VLOOKUP($Q15,seznam!$A$2:$C$268,2))</f>
        <v>bye</v>
      </c>
      <c r="S15" s="23">
        <f>IF($Q15=0,"",VLOOKUP($Q15,seznam!$A$2:$D$268,4))</f>
      </c>
      <c r="T15" s="58"/>
      <c r="U15" s="59"/>
      <c r="V15" s="59"/>
      <c r="W15" s="59"/>
      <c r="X15" s="60"/>
      <c r="Y15" s="23">
        <f t="shared" si="12"/>
        <v>0</v>
      </c>
      <c r="Z15" s="23">
        <f t="shared" si="13"/>
        <v>0</v>
      </c>
      <c r="AA15" s="23">
        <f t="shared" si="14"/>
        <v>0</v>
      </c>
      <c r="AB15" s="23">
        <f>IF($AA15=0,"",VLOOKUP($AA15,seznam!$A$2:$C$268,2))</f>
      </c>
      <c r="AC15" s="23">
        <f t="shared" si="15"/>
      </c>
      <c r="AD15" s="23">
        <f t="shared" si="16"/>
      </c>
      <c r="AE15" s="23">
        <f t="shared" si="17"/>
        <v>0</v>
      </c>
      <c r="AF15" s="23">
        <f t="shared" si="18"/>
        <v>0</v>
      </c>
      <c r="AH15" s="23">
        <f t="shared" si="19"/>
        <v>0</v>
      </c>
      <c r="AI15" s="23">
        <f t="shared" si="19"/>
        <v>0</v>
      </c>
      <c r="AJ15" s="23">
        <f t="shared" si="19"/>
        <v>0</v>
      </c>
      <c r="AK15" s="23">
        <f t="shared" si="19"/>
        <v>0</v>
      </c>
      <c r="AL15" s="23">
        <f t="shared" si="19"/>
        <v>0</v>
      </c>
      <c r="AN15" s="23" t="str">
        <f>CONCATENATE("&lt;/Table&gt;&lt;/TD&gt;&lt;/TR&gt;&lt;/Table&gt;&lt;P&gt;")</f>
        <v>&lt;/Table&gt;&lt;/TD&gt;&lt;/TR&gt;&lt;/Table&gt;&lt;P&gt;</v>
      </c>
      <c r="AO15" s="23" t="str">
        <f>CONCATENATE("&lt;TR&gt;&lt;TD&gt;",A15,"&lt;TD width=200&gt;",B15,"&lt;TD&gt;",C15,"&lt;TD&gt;",D15,"&lt;TD&gt;",E15,"&lt;TD&gt;",F15,"&lt;TD&gt;",G15,"&lt;TD&gt;",H15,"&lt;/TD&gt;&lt;/TR&gt;")</f>
        <v>&lt;TR&gt;&lt;TD&gt;&lt;TD width=200&gt;&lt;TD&gt;&lt;TD&gt;&lt;TD&gt;&lt;TD&gt;XXX&lt;TD&gt;&lt;TD&gt;&lt;/TD&gt;&lt;/TR&gt;</v>
      </c>
      <c r="AP15" s="23" t="str">
        <f>CONCATENATE("&lt;TR&gt;&lt;TD&gt;",J15,"&lt;TD&gt;",K15,"&lt;/TD&gt;&lt;/TR&gt;")</f>
        <v>&lt;TR&gt;&lt;TD&gt;Bartoš Martin  - bye&lt;TD&gt;&lt;/TD&gt;&lt;/TR&gt;</v>
      </c>
    </row>
    <row r="16" spans="10:42" ht="16.5" customHeight="1" thickBot="1" thickTop="1">
      <c r="J16" s="23" t="str">
        <f t="shared" si="10"/>
        <v>Hudec Alexander - Lapčík Ondřej</v>
      </c>
      <c r="K16" s="23" t="str">
        <f t="shared" si="11"/>
        <v>0 : 3 (-8,-6,-6)</v>
      </c>
      <c r="M16" s="23" t="str">
        <f>CONCATENATE("2.st. ",úvod!$C$8," - ",M10)</f>
        <v>2.st. YOUNGER CADET BOYS - Skupina B</v>
      </c>
      <c r="N16" s="23">
        <f>A14</f>
        <v>46</v>
      </c>
      <c r="O16" s="23" t="str">
        <f>IF($N16=0,"bye",VLOOKUP($N16,seznam!$A$2:$C$268,2))</f>
        <v>Hudec Alexander</v>
      </c>
      <c r="P16" s="23" t="str">
        <f>IF($N16=0,"",VLOOKUP($N16,seznam!$A$2:$D$268,4))</f>
        <v>Trenčín 2</v>
      </c>
      <c r="Q16" s="23">
        <f>A12</f>
        <v>58</v>
      </c>
      <c r="R16" s="23" t="str">
        <f>IF($Q16=0,"bye",VLOOKUP($Q16,seznam!$A$2:$C$268,2))</f>
        <v>Lapčík Ondřej</v>
      </c>
      <c r="S16" s="23" t="str">
        <f>IF($Q16=0,"",VLOOKUP($Q16,seznam!$A$2:$D$268,4))</f>
        <v>Zlín </v>
      </c>
      <c r="T16" s="61" t="s">
        <v>215</v>
      </c>
      <c r="U16" s="62" t="s">
        <v>221</v>
      </c>
      <c r="V16" s="62" t="s">
        <v>221</v>
      </c>
      <c r="W16" s="62"/>
      <c r="X16" s="63"/>
      <c r="Y16" s="23">
        <f t="shared" si="12"/>
        <v>0</v>
      </c>
      <c r="Z16" s="23">
        <f t="shared" si="13"/>
        <v>3</v>
      </c>
      <c r="AA16" s="23">
        <f t="shared" si="14"/>
        <v>58</v>
      </c>
      <c r="AB16" s="23" t="str">
        <f>IF($AA16=0,"",VLOOKUP($AA16,seznam!$A$2:$C$268,2))</f>
        <v>Lapčík Ondřej</v>
      </c>
      <c r="AC16" s="23" t="str">
        <f t="shared" si="15"/>
        <v>3:0 (8,6,6)</v>
      </c>
      <c r="AD16" s="23" t="str">
        <f t="shared" si="16"/>
        <v>3:0 (8,6,6)</v>
      </c>
      <c r="AE16" s="23">
        <f t="shared" si="17"/>
        <v>1</v>
      </c>
      <c r="AF16" s="23">
        <f t="shared" si="18"/>
        <v>2</v>
      </c>
      <c r="AH16" s="23">
        <f t="shared" si="19"/>
        <v>-1</v>
      </c>
      <c r="AI16" s="23">
        <f t="shared" si="19"/>
        <v>-1</v>
      </c>
      <c r="AJ16" s="23">
        <f t="shared" si="19"/>
        <v>-1</v>
      </c>
      <c r="AK16" s="23">
        <f t="shared" si="19"/>
        <v>0</v>
      </c>
      <c r="AL16" s="23">
        <f t="shared" si="19"/>
        <v>0</v>
      </c>
      <c r="AP16" s="23" t="str">
        <f>CONCATENATE("&lt;TR&gt;&lt;TD&gt;",J16,"&lt;TD&gt;",K16,"&lt;/TD&gt;&lt;/TR&gt;")</f>
        <v>&lt;TR&gt;&lt;TD&gt;Hudec Alexander - Lapčík Ondřej&lt;TD&gt;0 : 3 (-8,-6,-6)&lt;/TD&gt;&lt;/TR&gt;</v>
      </c>
    </row>
    <row r="17" spans="13:40" ht="16.5" customHeight="1" thickBot="1" thickTop="1">
      <c r="M17" s="24" t="str">
        <f>B18</f>
        <v>Skupina C</v>
      </c>
      <c r="N17" s="24" t="s">
        <v>0</v>
      </c>
      <c r="O17" s="24" t="s">
        <v>1</v>
      </c>
      <c r="P17" s="24" t="s">
        <v>2</v>
      </c>
      <c r="Q17" s="24" t="s">
        <v>0</v>
      </c>
      <c r="R17" s="24" t="s">
        <v>3</v>
      </c>
      <c r="S17" s="24" t="s">
        <v>2</v>
      </c>
      <c r="T17" s="25" t="s">
        <v>4</v>
      </c>
      <c r="U17" s="25" t="s">
        <v>5</v>
      </c>
      <c r="V17" s="25" t="s">
        <v>6</v>
      </c>
      <c r="W17" s="25" t="s">
        <v>7</v>
      </c>
      <c r="X17" s="25" t="s">
        <v>8</v>
      </c>
      <c r="Y17" s="24" t="s">
        <v>9</v>
      </c>
      <c r="Z17" s="24" t="s">
        <v>10</v>
      </c>
      <c r="AA17" s="24" t="s">
        <v>11</v>
      </c>
      <c r="AN17" s="23" t="s">
        <v>16</v>
      </c>
    </row>
    <row r="18" spans="1:42" ht="16.5" customHeight="1" thickBot="1" thickTop="1">
      <c r="A18" s="44"/>
      <c r="B18" s="45" t="s">
        <v>20</v>
      </c>
      <c r="C18" s="46">
        <v>1</v>
      </c>
      <c r="D18" s="47">
        <v>2</v>
      </c>
      <c r="E18" s="47">
        <v>3</v>
      </c>
      <c r="F18" s="48">
        <v>4</v>
      </c>
      <c r="G18" s="49" t="s">
        <v>14</v>
      </c>
      <c r="H18" s="48" t="s">
        <v>15</v>
      </c>
      <c r="J18" s="23" t="str">
        <f aca="true" t="shared" si="20" ref="J18:J23">CONCATENATE(O18," - ",R18)</f>
        <v>Peko Štefan - Krpálek Martin</v>
      </c>
      <c r="K18" s="23" t="str">
        <f aca="true" t="shared" si="21" ref="K18:K23">IF(SUM(Y18:Z18)=0,AD18,CONCATENATE(Y18," : ",Z18," (",T18,",",U18,",",V18,IF(Y18+Z18&gt;3,",",""),W18,IF(Y18+Z18&gt;4,",",""),X18,")"))</f>
        <v>3 : 0 (7,8,8)</v>
      </c>
      <c r="M18" s="23" t="str">
        <f>CONCATENATE("2.st. ",úvod!$C$8," - ",M17)</f>
        <v>2.st. YOUNGER CADET BOYS - Skupina C</v>
      </c>
      <c r="N18" s="23">
        <f>A19</f>
        <v>28</v>
      </c>
      <c r="O18" s="23" t="str">
        <f>IF($N18=0,"bye",VLOOKUP($N18,seznam!$A$2:$C$268,2))</f>
        <v>Peko Štefan</v>
      </c>
      <c r="P18" s="23" t="str">
        <f>IF($N18=0,"",VLOOKUP($N18,seznam!$A$2:$D$268,4))</f>
        <v>KST Viktoria Trnava</v>
      </c>
      <c r="Q18" s="23">
        <f>A22</f>
        <v>25</v>
      </c>
      <c r="R18" s="23" t="str">
        <f>IF($Q18=0,"bye",VLOOKUP($Q18,seznam!$A$2:$C$268,2))</f>
        <v>Krpálek Martin</v>
      </c>
      <c r="S18" s="23" t="str">
        <f>IF($Q18=0,"",VLOOKUP($Q18,seznam!$A$2:$D$268,4))</f>
        <v>Komňa</v>
      </c>
      <c r="T18" s="55" t="s">
        <v>209</v>
      </c>
      <c r="U18" s="56" t="s">
        <v>208</v>
      </c>
      <c r="V18" s="56" t="s">
        <v>208</v>
      </c>
      <c r="W18" s="56"/>
      <c r="X18" s="57"/>
      <c r="Y18" s="23">
        <f aca="true" t="shared" si="22" ref="Y18:Y23">COUNTIF(AH18:AL18,"&gt;0")</f>
        <v>3</v>
      </c>
      <c r="Z18" s="23">
        <f>COUNTIF(AH18:AL18,"&lt;0")</f>
        <v>0</v>
      </c>
      <c r="AA18" s="23">
        <f aca="true" t="shared" si="23" ref="AA18:AA23">IF(Y18=Z18,0,IF(Y18&gt;Z18,N18,Q18))</f>
        <v>28</v>
      </c>
      <c r="AB18" s="23" t="str">
        <f>IF($AA18=0,"",VLOOKUP($AA18,seznam!$A$2:$C$268,2))</f>
        <v>Peko Štefan</v>
      </c>
      <c r="AC18" s="23" t="str">
        <f aca="true" t="shared" si="24" ref="AC18:AC23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(7,8,8)</v>
      </c>
      <c r="AD18" s="23" t="str">
        <f aca="true" t="shared" si="25" ref="AD18:AD23">IF(SUM(Y18:Z18)=0,"",AC18)</f>
        <v>3:0 (7,8,8)</v>
      </c>
      <c r="AE18" s="23">
        <f aca="true" t="shared" si="26" ref="AE18:AE23">IF(T18="",0,IF(Y18&gt;Z18,2,1))</f>
        <v>2</v>
      </c>
      <c r="AF18" s="23">
        <f aca="true" t="shared" si="27" ref="AF18:AF23">IF(T18="",0,IF(Z18&gt;Y18,2,1))</f>
        <v>1</v>
      </c>
      <c r="AH18" s="23">
        <f aca="true" t="shared" si="28" ref="AH18:AL23">IF(T18="",0,IF(MID(T18,1,1)="-",-1,1))</f>
        <v>1</v>
      </c>
      <c r="AI18" s="23">
        <f t="shared" si="28"/>
        <v>1</v>
      </c>
      <c r="AJ18" s="23">
        <f t="shared" si="28"/>
        <v>1</v>
      </c>
      <c r="AK18" s="23">
        <f t="shared" si="28"/>
        <v>0</v>
      </c>
      <c r="AL18" s="23">
        <f t="shared" si="28"/>
        <v>0</v>
      </c>
      <c r="AN18" s="23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23" t="str">
        <f>CONCATENATE("&lt;TR&gt;&lt;TD width=250&gt;",J18,"&lt;TD&gt;",K18,"&lt;/TD&gt;&lt;/TR&gt;")</f>
        <v>&lt;TR&gt;&lt;TD width=250&gt;Peko Štefan - Krpálek Martin&lt;TD&gt;3 : 0 (7,8,8)&lt;/TD&gt;&lt;/TR&gt;</v>
      </c>
    </row>
    <row r="19" spans="1:42" ht="16.5" customHeight="1" thickTop="1">
      <c r="A19" s="38">
        <v>28</v>
      </c>
      <c r="B19" s="39" t="str">
        <f>IF($A19="","",CONCATENATE(VLOOKUP($A19,seznam!$A$2:$B$268,2)," (",VLOOKUP($A19,seznam!$A$2:$E$269,4),")"))</f>
        <v>Peko Štefan (KST Viktoria Trnava)</v>
      </c>
      <c r="C19" s="40" t="s">
        <v>30</v>
      </c>
      <c r="D19" s="41" t="str">
        <f>IF(Y21+Z21=0,"",CONCATENATE(Y21,":",Z21))</f>
        <v>0:3</v>
      </c>
      <c r="E19" s="41" t="str">
        <f>IF(Y23+Z23=0,"",CONCATENATE(Z23,":",Y23))</f>
        <v>3:0</v>
      </c>
      <c r="F19" s="42" t="str">
        <f>IF(Y18+Z18=0,"",CONCATENATE(Y18,":",Z18))</f>
        <v>3:0</v>
      </c>
      <c r="G19" s="43">
        <f>IF(AE18+AE21+AF23=0,"",AE18+AE21+AF23)</f>
        <v>5</v>
      </c>
      <c r="H19" s="42">
        <v>2</v>
      </c>
      <c r="J19" s="23" t="str">
        <f t="shared" si="20"/>
        <v>Karamazin Yaniv - Výmola Patrik</v>
      </c>
      <c r="K19" s="23" t="str">
        <f t="shared" si="21"/>
        <v>3 : 0 (2,3,10)</v>
      </c>
      <c r="M19" s="23" t="str">
        <f>CONCATENATE("2.st. ",úvod!$C$8," - ",M17)</f>
        <v>2.st. YOUNGER CADET BOYS - Skupina C</v>
      </c>
      <c r="N19" s="23">
        <f>A20</f>
        <v>13</v>
      </c>
      <c r="O19" s="23" t="str">
        <f>IF($N19=0,"bye",VLOOKUP($N19,seznam!$A$2:$C$268,2))</f>
        <v>Karamazin Yaniv</v>
      </c>
      <c r="P19" s="23" t="str">
        <f>IF($N19=0,"",VLOOKUP($N19,seznam!$A$2:$D$268,4))</f>
        <v>Israel </v>
      </c>
      <c r="Q19" s="23">
        <f>A21</f>
        <v>53</v>
      </c>
      <c r="R19" s="23" t="str">
        <f>IF($Q19=0,"bye",VLOOKUP($Q19,seznam!$A$2:$C$268,2))</f>
        <v>Výmola Patrik</v>
      </c>
      <c r="S19" s="23" t="str">
        <f>IF($Q19=0,"",VLOOKUP($Q19,seznam!$A$2:$D$268,4))</f>
        <v>Zlín</v>
      </c>
      <c r="T19" s="58" t="s">
        <v>206</v>
      </c>
      <c r="U19" s="59" t="s">
        <v>212</v>
      </c>
      <c r="V19" s="59" t="s">
        <v>222</v>
      </c>
      <c r="W19" s="59"/>
      <c r="X19" s="60"/>
      <c r="Y19" s="23">
        <f t="shared" si="22"/>
        <v>3</v>
      </c>
      <c r="Z19" s="23">
        <f>COUNTIF(AH19:AL19,"&lt;0")</f>
        <v>0</v>
      </c>
      <c r="AA19" s="23">
        <f t="shared" si="23"/>
        <v>13</v>
      </c>
      <c r="AB19" s="23" t="str">
        <f>IF($AA19=0,"",VLOOKUP($AA19,seznam!$A$2:$C$268,2))</f>
        <v>Karamazin Yaniv</v>
      </c>
      <c r="AC19" s="23" t="str">
        <f t="shared" si="24"/>
        <v>3:0 (2,3,10)</v>
      </c>
      <c r="AD19" s="23" t="str">
        <f t="shared" si="25"/>
        <v>3:0 (2,3,10)</v>
      </c>
      <c r="AE19" s="23">
        <f t="shared" si="26"/>
        <v>2</v>
      </c>
      <c r="AF19" s="23">
        <f t="shared" si="27"/>
        <v>1</v>
      </c>
      <c r="AH19" s="23">
        <f t="shared" si="28"/>
        <v>1</v>
      </c>
      <c r="AI19" s="23">
        <f t="shared" si="28"/>
        <v>1</v>
      </c>
      <c r="AJ19" s="23">
        <f t="shared" si="28"/>
        <v>1</v>
      </c>
      <c r="AK19" s="23">
        <f t="shared" si="28"/>
        <v>0</v>
      </c>
      <c r="AL19" s="23">
        <f t="shared" si="28"/>
        <v>0</v>
      </c>
      <c r="AN19" s="23" t="str">
        <f>CONCATENATE(AO19,AO20,AO21,AO22,)</f>
        <v>&lt;TR&gt;&lt;TD&gt;28&lt;TD width=200&gt;Peko Štefan (KST Viktoria Trnava)&lt;TD&gt;XXX&lt;TD&gt;0:3&lt;TD&gt;3:0&lt;TD&gt;3:0&lt;TD&gt;5&lt;TD&gt;2&lt;/TD&gt;&lt;/TR&gt;&lt;TR&gt;&lt;TD&gt;13&lt;TD width=200&gt;Karamazin Yaniv (Israel )&lt;TD&gt;3:0&lt;TD&gt;XXX&lt;TD&gt;3:0&lt;TD&gt;3:0&lt;TD&gt;6&lt;TD&gt;1&lt;/TD&gt;&lt;/TR&gt;&lt;TR&gt;&lt;TD&gt;53&lt;TD width=200&gt;Výmola Patrik (Zlín)&lt;TD&gt;0:3&lt;TD&gt;0:3&lt;TD&gt;XXX&lt;TD&gt;1:3&lt;TD&gt;3&lt;TD&gt;4&lt;/TD&gt;&lt;/TR&gt;&lt;TR&gt;&lt;TD&gt;25&lt;TD width=200&gt;Krpálek Martin (Komňa)&lt;TD&gt;0:3&lt;TD&gt;0:3&lt;TD&gt;3:1&lt;TD&gt;XXX&lt;TD&gt;4&lt;TD&gt;3&lt;/TD&gt;&lt;/TR&gt;</v>
      </c>
      <c r="AO19" s="23" t="str">
        <f>CONCATENATE("&lt;TR&gt;&lt;TD&gt;",A19,"&lt;TD width=200&gt;",B19,"&lt;TD&gt;",C19,"&lt;TD&gt;",D19,"&lt;TD&gt;",E19,"&lt;TD&gt;",F19,"&lt;TD&gt;",G19,"&lt;TD&gt;",H19,"&lt;/TD&gt;&lt;/TR&gt;")</f>
        <v>&lt;TR&gt;&lt;TD&gt;28&lt;TD width=200&gt;Peko Štefan (KST Viktoria Trnava)&lt;TD&gt;XXX&lt;TD&gt;0:3&lt;TD&gt;3:0&lt;TD&gt;3:0&lt;TD&gt;5&lt;TD&gt;2&lt;/TD&gt;&lt;/TR&gt;</v>
      </c>
      <c r="AP19" s="23" t="str">
        <f>CONCATENATE("&lt;TR&gt;&lt;TD&gt;",J19,"&lt;TD&gt;",K19,"&lt;/TD&gt;&lt;/TR&gt;")</f>
        <v>&lt;TR&gt;&lt;TD&gt;Karamazin Yaniv - Výmola Patrik&lt;TD&gt;3 : 0 (2,3,10)&lt;/TD&gt;&lt;/TR&gt;</v>
      </c>
    </row>
    <row r="20" spans="1:42" ht="16.5" customHeight="1">
      <c r="A20" s="26">
        <v>13</v>
      </c>
      <c r="B20" s="32" t="str">
        <f>IF($A20="","",CONCATENATE(VLOOKUP($A20,seznam!$A$2:$B$268,2)," (",VLOOKUP($A20,seznam!$A$2:$E$269,4),")"))</f>
        <v>Karamazin Yaniv (Israel )</v>
      </c>
      <c r="C20" s="36" t="str">
        <f>IF(Y21+Z21=0,"",CONCATENATE(Z21,":",Y21))</f>
        <v>3:0</v>
      </c>
      <c r="D20" s="27" t="s">
        <v>30</v>
      </c>
      <c r="E20" s="27" t="str">
        <f>IF(Y19+Z19=0,"",CONCATENATE(Y19,":",Z19))</f>
        <v>3:0</v>
      </c>
      <c r="F20" s="28" t="str">
        <f>IF(Y22+Z22=0,"",CONCATENATE(Y22,":",Z22))</f>
        <v>3:0</v>
      </c>
      <c r="G20" s="34">
        <f>IF(AE19+AF21+AE22=0,"",AE19+AF21+AE22)</f>
        <v>6</v>
      </c>
      <c r="H20" s="28">
        <v>1</v>
      </c>
      <c r="J20" s="23" t="str">
        <f t="shared" si="20"/>
        <v>Krpálek Martin - Výmola Patrik</v>
      </c>
      <c r="K20" s="23" t="str">
        <f t="shared" si="21"/>
        <v>3 : 1 (-9,8,7,6)</v>
      </c>
      <c r="M20" s="23" t="str">
        <f>CONCATENATE("2.st. ",úvod!$C$8," - ",M17)</f>
        <v>2.st. YOUNGER CADET BOYS - Skupina C</v>
      </c>
      <c r="N20" s="23">
        <f>A22</f>
        <v>25</v>
      </c>
      <c r="O20" s="23" t="str">
        <f>IF($N20=0,"bye",VLOOKUP($N20,seznam!$A$2:$C$268,2))</f>
        <v>Krpálek Martin</v>
      </c>
      <c r="P20" s="23" t="str">
        <f>IF($N20=0,"",VLOOKUP($N20,seznam!$A$2:$D$268,4))</f>
        <v>Komňa</v>
      </c>
      <c r="Q20" s="23">
        <f>A21</f>
        <v>53</v>
      </c>
      <c r="R20" s="23" t="str">
        <f>IF($Q20=0,"bye",VLOOKUP($Q20,seznam!$A$2:$C$268,2))</f>
        <v>Výmola Patrik</v>
      </c>
      <c r="S20" s="23" t="str">
        <f>IF($Q20=0,"",VLOOKUP($Q20,seznam!$A$2:$D$268,4))</f>
        <v>Zlín</v>
      </c>
      <c r="T20" s="58" t="s">
        <v>207</v>
      </c>
      <c r="U20" s="59" t="s">
        <v>208</v>
      </c>
      <c r="V20" s="59" t="s">
        <v>209</v>
      </c>
      <c r="W20" s="59" t="s">
        <v>210</v>
      </c>
      <c r="X20" s="60"/>
      <c r="Y20" s="23">
        <f t="shared" si="22"/>
        <v>3</v>
      </c>
      <c r="Z20" s="23">
        <f>COUNTIF(AH20:AL20,"&lt;0")</f>
        <v>1</v>
      </c>
      <c r="AA20" s="23">
        <f t="shared" si="23"/>
        <v>25</v>
      </c>
      <c r="AB20" s="23" t="str">
        <f>IF($AA20=0,"",VLOOKUP($AA20,seznam!$A$2:$C$268,2))</f>
        <v>Krpálek Martin</v>
      </c>
      <c r="AC20" s="23" t="str">
        <f t="shared" si="24"/>
        <v>3:1 (-9,8,7,6)</v>
      </c>
      <c r="AD20" s="23" t="str">
        <f t="shared" si="25"/>
        <v>3:1 (-9,8,7,6)</v>
      </c>
      <c r="AE20" s="23">
        <f t="shared" si="26"/>
        <v>2</v>
      </c>
      <c r="AF20" s="23">
        <f t="shared" si="27"/>
        <v>1</v>
      </c>
      <c r="AH20" s="23">
        <f t="shared" si="28"/>
        <v>-1</v>
      </c>
      <c r="AI20" s="23">
        <f t="shared" si="28"/>
        <v>1</v>
      </c>
      <c r="AJ20" s="23">
        <f t="shared" si="28"/>
        <v>1</v>
      </c>
      <c r="AK20" s="23">
        <f t="shared" si="28"/>
        <v>1</v>
      </c>
      <c r="AL20" s="23">
        <f t="shared" si="28"/>
        <v>0</v>
      </c>
      <c r="AN20" s="23" t="str">
        <f>CONCATENATE("&lt;/Table&gt;&lt;TD width=420&gt;&lt;Table&gt;")</f>
        <v>&lt;/Table&gt;&lt;TD width=420&gt;&lt;Table&gt;</v>
      </c>
      <c r="AO20" s="23" t="str">
        <f>CONCATENATE("&lt;TR&gt;&lt;TD&gt;",A20,"&lt;TD width=200&gt;",B20,"&lt;TD&gt;",C20,"&lt;TD&gt;",D20,"&lt;TD&gt;",E20,"&lt;TD&gt;",F20,"&lt;TD&gt;",G20,"&lt;TD&gt;",H20,"&lt;/TD&gt;&lt;/TR&gt;")</f>
        <v>&lt;TR&gt;&lt;TD&gt;13&lt;TD width=200&gt;Karamazin Yaniv (Israel )&lt;TD&gt;3:0&lt;TD&gt;XXX&lt;TD&gt;3:0&lt;TD&gt;3:0&lt;TD&gt;6&lt;TD&gt;1&lt;/TD&gt;&lt;/TR&gt;</v>
      </c>
      <c r="AP20" s="23" t="str">
        <f>CONCATENATE("&lt;TR&gt;&lt;TD&gt;",J20,"&lt;TD&gt;",K20,"&lt;/TD&gt;&lt;/TR&gt;")</f>
        <v>&lt;TR&gt;&lt;TD&gt;Krpálek Martin - Výmola Patrik&lt;TD&gt;3 : 1 (-9,8,7,6)&lt;/TD&gt;&lt;/TR&gt;</v>
      </c>
    </row>
    <row r="21" spans="1:42" ht="16.5" customHeight="1">
      <c r="A21" s="26">
        <v>53</v>
      </c>
      <c r="B21" s="32" t="str">
        <f>IF($A21="","",CONCATENATE(VLOOKUP($A21,seznam!$A$2:$B$268,2)," (",VLOOKUP($A21,seznam!$A$2:$E$269,4),")"))</f>
        <v>Výmola Patrik (Zlín)</v>
      </c>
      <c r="C21" s="36" t="str">
        <f>IF(Y23+Z23=0,"",CONCATENATE(Y23,":",Z23))</f>
        <v>0:3</v>
      </c>
      <c r="D21" s="27" t="str">
        <f>IF(Y19+Z19=0,"",CONCATENATE(Z19,":",Y19))</f>
        <v>0:3</v>
      </c>
      <c r="E21" s="27" t="s">
        <v>30</v>
      </c>
      <c r="F21" s="28" t="str">
        <f>IF(Y20+Z20=0,"",CONCATENATE(Z20,":",Y20))</f>
        <v>1:3</v>
      </c>
      <c r="G21" s="34">
        <f>IF(AF19+AF20+AE23=0,"",AF19+AF20+AE23)</f>
        <v>3</v>
      </c>
      <c r="H21" s="28">
        <v>4</v>
      </c>
      <c r="J21" s="23" t="str">
        <f t="shared" si="20"/>
        <v>Peko Štefan - Karamazin Yaniv</v>
      </c>
      <c r="K21" s="23" t="str">
        <f t="shared" si="21"/>
        <v>0 : 3 (-7,-7,-9)</v>
      </c>
      <c r="M21" s="23" t="str">
        <f>CONCATENATE("2.st. ",úvod!$C$8," - ",M17)</f>
        <v>2.st. YOUNGER CADET BOYS - Skupina C</v>
      </c>
      <c r="N21" s="23">
        <f>A19</f>
        <v>28</v>
      </c>
      <c r="O21" s="23" t="str">
        <f>IF($N21=0,"bye",VLOOKUP($N21,seznam!$A$2:$C$268,2))</f>
        <v>Peko Štefan</v>
      </c>
      <c r="P21" s="23" t="str">
        <f>IF($N21=0,"",VLOOKUP($N21,seznam!$A$2:$D$268,4))</f>
        <v>KST Viktoria Trnava</v>
      </c>
      <c r="Q21" s="23">
        <f>A20</f>
        <v>13</v>
      </c>
      <c r="R21" s="23" t="str">
        <f>IF($Q21=0,"bye",VLOOKUP($Q21,seznam!$A$2:$C$268,2))</f>
        <v>Karamazin Yaniv</v>
      </c>
      <c r="S21" s="23" t="str">
        <f>IF($Q21=0,"",VLOOKUP($Q21,seznam!$A$2:$D$268,4))</f>
        <v>Israel </v>
      </c>
      <c r="T21" s="58" t="s">
        <v>218</v>
      </c>
      <c r="U21" s="59" t="s">
        <v>218</v>
      </c>
      <c r="V21" s="59" t="s">
        <v>207</v>
      </c>
      <c r="W21" s="59"/>
      <c r="X21" s="60"/>
      <c r="Y21" s="23">
        <f t="shared" si="22"/>
        <v>0</v>
      </c>
      <c r="Z21" s="23">
        <f>COUNTIF(AH21:AL21,"&lt;0")</f>
        <v>3</v>
      </c>
      <c r="AA21" s="23">
        <f t="shared" si="23"/>
        <v>13</v>
      </c>
      <c r="AB21" s="23" t="str">
        <f>IF($AA21=0,"",VLOOKUP($AA21,seznam!$A$2:$C$268,2))</f>
        <v>Karamazin Yaniv</v>
      </c>
      <c r="AC21" s="23" t="str">
        <f t="shared" si="24"/>
        <v>3:0 (7,7,9)</v>
      </c>
      <c r="AD21" s="23" t="str">
        <f t="shared" si="25"/>
        <v>3:0 (7,7,9)</v>
      </c>
      <c r="AE21" s="23">
        <f t="shared" si="26"/>
        <v>1</v>
      </c>
      <c r="AF21" s="23">
        <f t="shared" si="27"/>
        <v>2</v>
      </c>
      <c r="AH21" s="23">
        <f t="shared" si="28"/>
        <v>-1</v>
      </c>
      <c r="AI21" s="23">
        <f t="shared" si="28"/>
        <v>-1</v>
      </c>
      <c r="AJ21" s="23">
        <f t="shared" si="28"/>
        <v>-1</v>
      </c>
      <c r="AK21" s="23">
        <f t="shared" si="28"/>
        <v>0</v>
      </c>
      <c r="AL21" s="23">
        <f t="shared" si="28"/>
        <v>0</v>
      </c>
      <c r="AN21" s="23" t="str">
        <f>CONCATENATE(AP18,AP19,AP20,AP21,AP22,AP23,)</f>
        <v>&lt;TR&gt;&lt;TD width=250&gt;Peko Štefan - Krpálek Martin&lt;TD&gt;3 : 0 (7,8,8)&lt;/TD&gt;&lt;/TR&gt;&lt;TR&gt;&lt;TD&gt;Karamazin Yaniv - Výmola Patrik&lt;TD&gt;3 : 0 (2,3,10)&lt;/TD&gt;&lt;/TR&gt;&lt;TR&gt;&lt;TD&gt;Krpálek Martin - Výmola Patrik&lt;TD&gt;3 : 1 (-9,8,7,6)&lt;/TD&gt;&lt;/TR&gt;&lt;TR&gt;&lt;TD&gt;Peko Štefan - Karamazin Yaniv&lt;TD&gt;0 : 3 (-7,-7,-9)&lt;/TD&gt;&lt;/TR&gt;&lt;TR&gt;&lt;TD&gt;Karamazin Yaniv - Krpálek Martin&lt;TD&gt;3 : 0 (2,3,7)&lt;/TD&gt;&lt;/TR&gt;&lt;TR&gt;&lt;TD&gt;Výmola Patrik - Peko Štefan&lt;TD&gt;0 : 3 (-5,-3,-7)&lt;/TD&gt;&lt;/TR&gt;</v>
      </c>
      <c r="AO21" s="23" t="str">
        <f>CONCATENATE("&lt;TR&gt;&lt;TD&gt;",A21,"&lt;TD width=200&gt;",B21,"&lt;TD&gt;",C21,"&lt;TD&gt;",D21,"&lt;TD&gt;",E21,"&lt;TD&gt;",F21,"&lt;TD&gt;",G21,"&lt;TD&gt;",H21,"&lt;/TD&gt;&lt;/TR&gt;")</f>
        <v>&lt;TR&gt;&lt;TD&gt;53&lt;TD width=200&gt;Výmola Patrik (Zlín)&lt;TD&gt;0:3&lt;TD&gt;0:3&lt;TD&gt;XXX&lt;TD&gt;1:3&lt;TD&gt;3&lt;TD&gt;4&lt;/TD&gt;&lt;/TR&gt;</v>
      </c>
      <c r="AP21" s="23" t="str">
        <f>CONCATENATE("&lt;TR&gt;&lt;TD&gt;",J21,"&lt;TD&gt;",K21,"&lt;/TD&gt;&lt;/TR&gt;")</f>
        <v>&lt;TR&gt;&lt;TD&gt;Peko Štefan - Karamazin Yaniv&lt;TD&gt;0 : 3 (-7,-7,-9)&lt;/TD&gt;&lt;/TR&gt;</v>
      </c>
    </row>
    <row r="22" spans="1:42" ht="16.5" customHeight="1" thickBot="1">
      <c r="A22" s="29">
        <v>25</v>
      </c>
      <c r="B22" s="33" t="str">
        <f>IF($A22="","",CONCATENATE(VLOOKUP($A22,seznam!$A$2:$B$268,2)," (",VLOOKUP($A22,seznam!$A$2:$E$269,4),")"))</f>
        <v>Krpálek Martin (Komňa)</v>
      </c>
      <c r="C22" s="37" t="str">
        <f>IF(Y18+Z18=0,"",CONCATENATE(Z18,":",Y18))</f>
        <v>0:3</v>
      </c>
      <c r="D22" s="30" t="str">
        <f>IF(Y22+Z22=0,"",CONCATENATE(Z22,":",Y22))</f>
        <v>0:3</v>
      </c>
      <c r="E22" s="30" t="str">
        <f>IF(Y20+Z20=0,"",CONCATENATE(Y20,":",Z20))</f>
        <v>3:1</v>
      </c>
      <c r="F22" s="31" t="s">
        <v>30</v>
      </c>
      <c r="G22" s="35">
        <f>IF(AF18+AE20+AF22=0,"",AF18+AE20+AF22)</f>
        <v>4</v>
      </c>
      <c r="H22" s="31">
        <v>3</v>
      </c>
      <c r="J22" s="23" t="str">
        <f t="shared" si="20"/>
        <v>Karamazin Yaniv - Krpálek Martin</v>
      </c>
      <c r="K22" s="23" t="str">
        <f t="shared" si="21"/>
        <v>3 : 0 (2,3,7)</v>
      </c>
      <c r="M22" s="23" t="str">
        <f>CONCATENATE("2.st. ",úvod!$C$8," - ",M17)</f>
        <v>2.st. YOUNGER CADET BOYS - Skupina C</v>
      </c>
      <c r="N22" s="23">
        <f>A20</f>
        <v>13</v>
      </c>
      <c r="O22" s="23" t="str">
        <f>IF($N22=0,"bye",VLOOKUP($N22,seznam!$A$2:$C$268,2))</f>
        <v>Karamazin Yaniv</v>
      </c>
      <c r="P22" s="23" t="str">
        <f>IF($N22=0,"",VLOOKUP($N22,seznam!$A$2:$D$268,4))</f>
        <v>Israel </v>
      </c>
      <c r="Q22" s="23">
        <f>A22</f>
        <v>25</v>
      </c>
      <c r="R22" s="23" t="str">
        <f>IF($Q22=0,"bye",VLOOKUP($Q22,seznam!$A$2:$C$268,2))</f>
        <v>Krpálek Martin</v>
      </c>
      <c r="S22" s="23" t="str">
        <f>IF($Q22=0,"",VLOOKUP($Q22,seznam!$A$2:$D$268,4))</f>
        <v>Komňa</v>
      </c>
      <c r="T22" s="58" t="s">
        <v>206</v>
      </c>
      <c r="U22" s="59" t="s">
        <v>212</v>
      </c>
      <c r="V22" s="59" t="s">
        <v>209</v>
      </c>
      <c r="W22" s="59"/>
      <c r="X22" s="60"/>
      <c r="Y22" s="23">
        <f t="shared" si="22"/>
        <v>3</v>
      </c>
      <c r="Z22" s="23">
        <f>COUNTIF(AH22:AL22,"&lt;0")</f>
        <v>0</v>
      </c>
      <c r="AA22" s="23">
        <f t="shared" si="23"/>
        <v>13</v>
      </c>
      <c r="AB22" s="23" t="str">
        <f>IF($AA22=0,"",VLOOKUP($AA22,seznam!$A$2:$C$268,2))</f>
        <v>Karamazin Yaniv</v>
      </c>
      <c r="AC22" s="23" t="str">
        <f t="shared" si="24"/>
        <v>3:0 (2,3,7)</v>
      </c>
      <c r="AD22" s="23" t="str">
        <f t="shared" si="25"/>
        <v>3:0 (2,3,7)</v>
      </c>
      <c r="AE22" s="23">
        <f t="shared" si="26"/>
        <v>2</v>
      </c>
      <c r="AF22" s="23">
        <f t="shared" si="27"/>
        <v>1</v>
      </c>
      <c r="AH22" s="23">
        <f t="shared" si="28"/>
        <v>1</v>
      </c>
      <c r="AI22" s="23">
        <f t="shared" si="28"/>
        <v>1</v>
      </c>
      <c r="AJ22" s="23">
        <f t="shared" si="28"/>
        <v>1</v>
      </c>
      <c r="AK22" s="23">
        <f t="shared" si="28"/>
        <v>0</v>
      </c>
      <c r="AL22" s="23">
        <f t="shared" si="28"/>
        <v>0</v>
      </c>
      <c r="AN22" s="23" t="str">
        <f>CONCATENATE("&lt;/Table&gt;&lt;/TD&gt;&lt;/TR&gt;&lt;/Table&gt;&lt;P&gt;")</f>
        <v>&lt;/Table&gt;&lt;/TD&gt;&lt;/TR&gt;&lt;/Table&gt;&lt;P&gt;</v>
      </c>
      <c r="AO22" s="23" t="str">
        <f>CONCATENATE("&lt;TR&gt;&lt;TD&gt;",A22,"&lt;TD width=200&gt;",B22,"&lt;TD&gt;",C22,"&lt;TD&gt;",D22,"&lt;TD&gt;",E22,"&lt;TD&gt;",F22,"&lt;TD&gt;",G22,"&lt;TD&gt;",H22,"&lt;/TD&gt;&lt;/TR&gt;")</f>
        <v>&lt;TR&gt;&lt;TD&gt;25&lt;TD width=200&gt;Krpálek Martin (Komňa)&lt;TD&gt;0:3&lt;TD&gt;0:3&lt;TD&gt;3:1&lt;TD&gt;XXX&lt;TD&gt;4&lt;TD&gt;3&lt;/TD&gt;&lt;/TR&gt;</v>
      </c>
      <c r="AP22" s="23" t="str">
        <f>CONCATENATE("&lt;TR&gt;&lt;TD&gt;",J22,"&lt;TD&gt;",K22,"&lt;/TD&gt;&lt;/TR&gt;")</f>
        <v>&lt;TR&gt;&lt;TD&gt;Karamazin Yaniv - Krpálek Martin&lt;TD&gt;3 : 0 (2,3,7)&lt;/TD&gt;&lt;/TR&gt;</v>
      </c>
    </row>
    <row r="23" spans="10:42" ht="16.5" customHeight="1" thickBot="1" thickTop="1">
      <c r="J23" s="23" t="str">
        <f t="shared" si="20"/>
        <v>Výmola Patrik - Peko Štefan</v>
      </c>
      <c r="K23" s="23" t="str">
        <f t="shared" si="21"/>
        <v>0 : 3 (-5,-3,-7)</v>
      </c>
      <c r="M23" s="23" t="str">
        <f>CONCATENATE("2.st. ",úvod!$C$8," - ",M17)</f>
        <v>2.st. YOUNGER CADET BOYS - Skupina C</v>
      </c>
      <c r="N23" s="23">
        <f>A21</f>
        <v>53</v>
      </c>
      <c r="O23" s="23" t="str">
        <f>IF($N23=0,"bye",VLOOKUP($N23,seznam!$A$2:$C$268,2))</f>
        <v>Výmola Patrik</v>
      </c>
      <c r="P23" s="23" t="str">
        <f>IF($N23=0,"",VLOOKUP($N23,seznam!$A$2:$D$268,4))</f>
        <v>Zlín</v>
      </c>
      <c r="Q23" s="23">
        <f>A19</f>
        <v>28</v>
      </c>
      <c r="R23" s="23" t="str">
        <f>IF($Q23=0,"bye",VLOOKUP($Q23,seznam!$A$2:$C$268,2))</f>
        <v>Peko Štefan</v>
      </c>
      <c r="S23" s="23" t="str">
        <f>IF($Q23=0,"",VLOOKUP($Q23,seznam!$A$2:$D$268,4))</f>
        <v>KST Viktoria Trnava</v>
      </c>
      <c r="T23" s="61" t="s">
        <v>224</v>
      </c>
      <c r="U23" s="62" t="s">
        <v>228</v>
      </c>
      <c r="V23" s="62" t="s">
        <v>218</v>
      </c>
      <c r="W23" s="62"/>
      <c r="X23" s="63"/>
      <c r="Y23" s="23">
        <f t="shared" si="22"/>
        <v>0</v>
      </c>
      <c r="Z23" s="23">
        <v>3</v>
      </c>
      <c r="AA23" s="23">
        <f t="shared" si="23"/>
        <v>28</v>
      </c>
      <c r="AB23" s="23" t="str">
        <f>IF($AA23=0,"",VLOOKUP($AA23,seznam!$A$2:$C$268,2))</f>
        <v>Peko Štefan</v>
      </c>
      <c r="AC23" s="23" t="str">
        <f t="shared" si="24"/>
        <v>3:0 (5,3,7)</v>
      </c>
      <c r="AD23" s="23" t="str">
        <f t="shared" si="25"/>
        <v>3:0 (5,3,7)</v>
      </c>
      <c r="AE23" s="23">
        <f t="shared" si="26"/>
        <v>1</v>
      </c>
      <c r="AF23" s="23">
        <f t="shared" si="27"/>
        <v>2</v>
      </c>
      <c r="AH23" s="23">
        <f t="shared" si="28"/>
        <v>-1</v>
      </c>
      <c r="AI23" s="23">
        <f t="shared" si="28"/>
        <v>-1</v>
      </c>
      <c r="AJ23" s="23">
        <f t="shared" si="28"/>
        <v>-1</v>
      </c>
      <c r="AK23" s="23">
        <f t="shared" si="28"/>
        <v>0</v>
      </c>
      <c r="AL23" s="23">
        <f t="shared" si="28"/>
        <v>0</v>
      </c>
      <c r="AP23" s="23" t="str">
        <f>CONCATENATE("&lt;TR&gt;&lt;TD&gt;",J23,"&lt;TD&gt;",K23,"&lt;/TD&gt;&lt;/TR&gt;")</f>
        <v>&lt;TR&gt;&lt;TD&gt;Výmola Patrik - Peko Štefan&lt;TD&gt;0 : 3 (-5,-3,-7)&lt;/TD&gt;&lt;/TR&gt;</v>
      </c>
    </row>
    <row r="24" spans="13:40" ht="16.5" customHeight="1" thickBot="1" thickTop="1">
      <c r="M24" s="24" t="str">
        <f>B25</f>
        <v>Skupina D</v>
      </c>
      <c r="N24" s="24" t="s">
        <v>0</v>
      </c>
      <c r="O24" s="24" t="s">
        <v>1</v>
      </c>
      <c r="P24" s="24" t="s">
        <v>2</v>
      </c>
      <c r="Q24" s="24" t="s">
        <v>0</v>
      </c>
      <c r="R24" s="24" t="s">
        <v>3</v>
      </c>
      <c r="S24" s="24" t="s">
        <v>2</v>
      </c>
      <c r="T24" s="25" t="s">
        <v>4</v>
      </c>
      <c r="U24" s="25" t="s">
        <v>5</v>
      </c>
      <c r="V24" s="25" t="s">
        <v>6</v>
      </c>
      <c r="W24" s="25" t="s">
        <v>7</v>
      </c>
      <c r="X24" s="25" t="s">
        <v>8</v>
      </c>
      <c r="Y24" s="24" t="s">
        <v>9</v>
      </c>
      <c r="Z24" s="24" t="s">
        <v>10</v>
      </c>
      <c r="AA24" s="24" t="s">
        <v>11</v>
      </c>
      <c r="AN24" s="23" t="s">
        <v>16</v>
      </c>
    </row>
    <row r="25" spans="1:42" ht="16.5" customHeight="1" thickBot="1" thickTop="1">
      <c r="A25" s="44"/>
      <c r="B25" s="45" t="s">
        <v>21</v>
      </c>
      <c r="C25" s="46">
        <v>1</v>
      </c>
      <c r="D25" s="47">
        <v>2</v>
      </c>
      <c r="E25" s="47">
        <v>3</v>
      </c>
      <c r="F25" s="48">
        <v>4</v>
      </c>
      <c r="G25" s="49" t="s">
        <v>14</v>
      </c>
      <c r="H25" s="48" t="s">
        <v>15</v>
      </c>
      <c r="J25" s="23" t="str">
        <f aca="true" t="shared" si="29" ref="J25:J30">CONCATENATE(O25," - ",R25)</f>
        <v>Schlie Jonah - Filip Hromek</v>
      </c>
      <c r="K25" s="23" t="str">
        <f aca="true" t="shared" si="30" ref="K25:K30">IF(SUM(Y25:Z25)=0,AD25,CONCATENATE(Y25," : ",Z25," (",T25,",",U25,",",V25,IF(Y25+Z25&gt;3,",",""),W25,IF(Y25+Z25&gt;4,",",""),X25,")"))</f>
        <v>3 : 0 (6,4,3)</v>
      </c>
      <c r="M25" s="23" t="str">
        <f>CONCATENATE("2.st. ",úvod!$C$8," - ",M24)</f>
        <v>2.st. YOUNGER CADET BOYS - Skupina D</v>
      </c>
      <c r="N25" s="23">
        <f>A26</f>
        <v>33</v>
      </c>
      <c r="O25" s="23" t="str">
        <f>IF($N25=0,"bye",VLOOKUP($N25,seznam!$A$2:$C$268,2))</f>
        <v>Schlie Jonah</v>
      </c>
      <c r="P25" s="23" t="str">
        <f>IF($N25=0,"",VLOOKUP($N25,seznam!$A$2:$D$268,4))</f>
        <v>Niedersachsen </v>
      </c>
      <c r="Q25" s="23">
        <f>A29</f>
        <v>8</v>
      </c>
      <c r="R25" s="23" t="str">
        <f>IF($Q25=0,"bye",VLOOKUP($Q25,seznam!$A$2:$C$268,2))</f>
        <v>Filip Hromek</v>
      </c>
      <c r="S25" s="23" t="str">
        <f>IF($Q25=0,"",VLOOKUP($Q25,seznam!$A$2:$D$268,4))</f>
        <v>Dubňany</v>
      </c>
      <c r="T25" s="55" t="s">
        <v>210</v>
      </c>
      <c r="U25" s="56" t="s">
        <v>220</v>
      </c>
      <c r="V25" s="56" t="s">
        <v>212</v>
      </c>
      <c r="W25" s="56"/>
      <c r="X25" s="57"/>
      <c r="Y25" s="23">
        <f aca="true" t="shared" si="31" ref="Y25:Y30">COUNTIF(AH25:AL25,"&gt;0")</f>
        <v>3</v>
      </c>
      <c r="Z25" s="23">
        <f aca="true" t="shared" si="32" ref="Z25:Z30">COUNTIF(AH25:AL25,"&lt;0")</f>
        <v>0</v>
      </c>
      <c r="AA25" s="23">
        <f aca="true" t="shared" si="33" ref="AA25:AA30">IF(Y25=Z25,0,IF(Y25&gt;Z25,N25,Q25))</f>
        <v>33</v>
      </c>
      <c r="AB25" s="23" t="str">
        <f>IF($AA25=0,"",VLOOKUP($AA25,seznam!$A$2:$C$268,2))</f>
        <v>Schlie Jonah</v>
      </c>
      <c r="AC25" s="23" t="str">
        <f aca="true" t="shared" si="34" ref="AC25:AC30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>3:0 (6,4,3)</v>
      </c>
      <c r="AD25" s="23" t="str">
        <f aca="true" t="shared" si="35" ref="AD25:AD30">IF(SUM(Y25:Z25)=0,"",AC25)</f>
        <v>3:0 (6,4,3)</v>
      </c>
      <c r="AE25" s="23">
        <f aca="true" t="shared" si="36" ref="AE25:AE30">IF(T25="",0,IF(Y25&gt;Z25,2,1))</f>
        <v>2</v>
      </c>
      <c r="AF25" s="23">
        <f aca="true" t="shared" si="37" ref="AF25:AF30">IF(T25="",0,IF(Z25&gt;Y25,2,1))</f>
        <v>1</v>
      </c>
      <c r="AH25" s="23">
        <f aca="true" t="shared" si="38" ref="AH25:AL30">IF(T25="",0,IF(MID(T25,1,1)="-",-1,1))</f>
        <v>1</v>
      </c>
      <c r="AI25" s="23">
        <f t="shared" si="38"/>
        <v>1</v>
      </c>
      <c r="AJ25" s="23">
        <f t="shared" si="38"/>
        <v>1</v>
      </c>
      <c r="AK25" s="23">
        <f t="shared" si="38"/>
        <v>0</v>
      </c>
      <c r="AL25" s="23">
        <f t="shared" si="38"/>
        <v>0</v>
      </c>
      <c r="AN25" s="23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P25" s="23" t="str">
        <f>CONCATENATE("&lt;TR&gt;&lt;TD width=250&gt;",J25,"&lt;TD&gt;",K25,"&lt;/TD&gt;&lt;/TR&gt;")</f>
        <v>&lt;TR&gt;&lt;TD width=250&gt;Schlie Jonah - Filip Hromek&lt;TD&gt;3 : 0 (6,4,3)&lt;/TD&gt;&lt;/TR&gt;</v>
      </c>
    </row>
    <row r="26" spans="1:42" ht="16.5" customHeight="1" thickTop="1">
      <c r="A26" s="38">
        <v>33</v>
      </c>
      <c r="B26" s="39" t="str">
        <f>IF($A26="","",CONCATENATE(VLOOKUP($A26,seznam!$A$2:$B$268,2)," (",VLOOKUP($A26,seznam!$A$2:$E$269,4),")"))</f>
        <v>Schlie Jonah (Niedersachsen )</v>
      </c>
      <c r="C26" s="40" t="s">
        <v>30</v>
      </c>
      <c r="D26" s="41" t="str">
        <f>IF(Y28+Z28=0,"",CONCATENATE(Y28,":",Z28))</f>
        <v>3:0</v>
      </c>
      <c r="E26" s="41" t="str">
        <f>IF(Y30+Z30=0,"",CONCATENATE(Z30,":",Y30))</f>
        <v>3:0</v>
      </c>
      <c r="F26" s="42" t="str">
        <f>IF(Y25+Z25=0,"",CONCATENATE(Y25,":",Z25))</f>
        <v>3:0</v>
      </c>
      <c r="G26" s="43">
        <f>IF(AE25+AE28+AF30=0,"",AE25+AE28+AF30)</f>
        <v>6</v>
      </c>
      <c r="H26" s="42">
        <v>1</v>
      </c>
      <c r="J26" s="23" t="str">
        <f t="shared" si="29"/>
        <v>David Matan - Feiler Marcel</v>
      </c>
      <c r="K26" s="23" t="str">
        <f t="shared" si="30"/>
        <v>3 : 1 (5,8,-9,4)</v>
      </c>
      <c r="M26" s="23" t="str">
        <f>CONCATENATE("2.st. ",úvod!$C$8," - ",M24)</f>
        <v>2.st. YOUNGER CADET BOYS - Skupina D</v>
      </c>
      <c r="N26" s="23">
        <f>A27</f>
        <v>14</v>
      </c>
      <c r="O26" s="23" t="str">
        <f>IF($N26=0,"bye",VLOOKUP($N26,seznam!$A$2:$C$268,2))</f>
        <v>David Matan</v>
      </c>
      <c r="P26" s="23" t="str">
        <f>IF($N26=0,"",VLOOKUP($N26,seznam!$A$2:$D$268,4))</f>
        <v>Israel </v>
      </c>
      <c r="Q26" s="23">
        <f>A28</f>
        <v>45</v>
      </c>
      <c r="R26" s="23" t="str">
        <f>IF($Q26=0,"bye",VLOOKUP($Q26,seznam!$A$2:$C$268,2))</f>
        <v>Feiler Marcel</v>
      </c>
      <c r="S26" s="23" t="str">
        <f>IF($Q26=0,"",VLOOKUP($Q26,seznam!$A$2:$D$268,4))</f>
        <v>Trenčianská Teplá</v>
      </c>
      <c r="T26" s="58" t="s">
        <v>211</v>
      </c>
      <c r="U26" s="59" t="s">
        <v>208</v>
      </c>
      <c r="V26" s="59" t="s">
        <v>207</v>
      </c>
      <c r="W26" s="59" t="s">
        <v>220</v>
      </c>
      <c r="X26" s="60"/>
      <c r="Y26" s="23">
        <f t="shared" si="31"/>
        <v>3</v>
      </c>
      <c r="Z26" s="23">
        <f t="shared" si="32"/>
        <v>1</v>
      </c>
      <c r="AA26" s="23">
        <f t="shared" si="33"/>
        <v>14</v>
      </c>
      <c r="AB26" s="23" t="str">
        <f>IF($AA26=0,"",VLOOKUP($AA26,seznam!$A$2:$C$268,2))</f>
        <v>David Matan</v>
      </c>
      <c r="AC26" s="23" t="str">
        <f t="shared" si="34"/>
        <v>3:1 (5,8,-9,4)</v>
      </c>
      <c r="AD26" s="23" t="str">
        <f t="shared" si="35"/>
        <v>3:1 (5,8,-9,4)</v>
      </c>
      <c r="AE26" s="23">
        <f t="shared" si="36"/>
        <v>2</v>
      </c>
      <c r="AF26" s="23">
        <f t="shared" si="37"/>
        <v>1</v>
      </c>
      <c r="AH26" s="23">
        <f t="shared" si="38"/>
        <v>1</v>
      </c>
      <c r="AI26" s="23">
        <f t="shared" si="38"/>
        <v>1</v>
      </c>
      <c r="AJ26" s="23">
        <f t="shared" si="38"/>
        <v>-1</v>
      </c>
      <c r="AK26" s="23">
        <f t="shared" si="38"/>
        <v>1</v>
      </c>
      <c r="AL26" s="23">
        <f t="shared" si="38"/>
        <v>0</v>
      </c>
      <c r="AN26" s="23" t="str">
        <f>CONCATENATE(AO26,AO27,AO28,AO29,)</f>
        <v>&lt;TR&gt;&lt;TD&gt;33&lt;TD width=200&gt;Schlie Jonah (Niedersachsen )&lt;TD&gt;XXX&lt;TD&gt;3:0&lt;TD&gt;3:0&lt;TD&gt;3:0&lt;TD&gt;6&lt;TD&gt;1&lt;/TD&gt;&lt;/TR&gt;&lt;TR&gt;&lt;TD&gt;14&lt;TD width=200&gt;David Matan (Israel )&lt;TD&gt;0:3&lt;TD&gt;XXX&lt;TD&gt;3:1&lt;TD&gt;0:3&lt;TD&gt;4&lt;TD&gt;3&lt;/TD&gt;&lt;/TR&gt;&lt;TR&gt;&lt;TD&gt;45&lt;TD width=200&gt;Feiler Marcel (Trenčianská Teplá)&lt;TD&gt;0:3&lt;TD&gt;1:3&lt;TD&gt;XXX&lt;TD&gt;0:3&lt;TD&gt;3&lt;TD&gt;4&lt;/TD&gt;&lt;/TR&gt;&lt;TR&gt;&lt;TD&gt;8&lt;TD width=200&gt;Filip Hromek (Dubňany)&lt;TD&gt;0:3&lt;TD&gt;3:0&lt;TD&gt;3:0&lt;TD&gt;XXX&lt;TD&gt;5&lt;TD&gt;2&lt;/TD&gt;&lt;/TR&gt;</v>
      </c>
      <c r="AO26" s="23" t="str">
        <f>CONCATENATE("&lt;TR&gt;&lt;TD&gt;",A26,"&lt;TD width=200&gt;",B26,"&lt;TD&gt;",C26,"&lt;TD&gt;",D26,"&lt;TD&gt;",E26,"&lt;TD&gt;",F26,"&lt;TD&gt;",G26,"&lt;TD&gt;",H26,"&lt;/TD&gt;&lt;/TR&gt;")</f>
        <v>&lt;TR&gt;&lt;TD&gt;33&lt;TD width=200&gt;Schlie Jonah (Niedersachsen )&lt;TD&gt;XXX&lt;TD&gt;3:0&lt;TD&gt;3:0&lt;TD&gt;3:0&lt;TD&gt;6&lt;TD&gt;1&lt;/TD&gt;&lt;/TR&gt;</v>
      </c>
      <c r="AP26" s="23" t="str">
        <f>CONCATENATE("&lt;TR&gt;&lt;TD&gt;",J26,"&lt;TD&gt;",K26,"&lt;/TD&gt;&lt;/TR&gt;")</f>
        <v>&lt;TR&gt;&lt;TD&gt;David Matan - Feiler Marcel&lt;TD&gt;3 : 1 (5,8,-9,4)&lt;/TD&gt;&lt;/TR&gt;</v>
      </c>
    </row>
    <row r="27" spans="1:42" ht="16.5" customHeight="1">
      <c r="A27" s="26">
        <v>14</v>
      </c>
      <c r="B27" s="32" t="str">
        <f>IF($A27="","",CONCATENATE(VLOOKUP($A27,seznam!$A$2:$B$268,2)," (",VLOOKUP($A27,seznam!$A$2:$E$269,4),")"))</f>
        <v>David Matan (Israel )</v>
      </c>
      <c r="C27" s="36" t="str">
        <f>IF(Y28+Z28=0,"",CONCATENATE(Z28,":",Y28))</f>
        <v>0:3</v>
      </c>
      <c r="D27" s="27" t="s">
        <v>30</v>
      </c>
      <c r="E27" s="27" t="str">
        <f>IF(Y26+Z26=0,"",CONCATENATE(Y26,":",Z26))</f>
        <v>3:1</v>
      </c>
      <c r="F27" s="28" t="str">
        <f>IF(Y29+Z29=0,"",CONCATENATE(Y29,":",Z29))</f>
        <v>0:3</v>
      </c>
      <c r="G27" s="34">
        <f>IF(AE26+AF28+AE29=0,"",AE26+AF28+AE29)</f>
        <v>4</v>
      </c>
      <c r="H27" s="28">
        <v>3</v>
      </c>
      <c r="J27" s="23" t="str">
        <f t="shared" si="29"/>
        <v>Filip Hromek - Feiler Marcel</v>
      </c>
      <c r="K27" s="23" t="str">
        <f t="shared" si="30"/>
        <v>3 : 0 (3,5,5)</v>
      </c>
      <c r="M27" s="23" t="str">
        <f>CONCATENATE("2.st. ",úvod!$C$8," - ",M24)</f>
        <v>2.st. YOUNGER CADET BOYS - Skupina D</v>
      </c>
      <c r="N27" s="23">
        <f>A29</f>
        <v>8</v>
      </c>
      <c r="O27" s="23" t="str">
        <f>IF($N27=0,"bye",VLOOKUP($N27,seznam!$A$2:$C$268,2))</f>
        <v>Filip Hromek</v>
      </c>
      <c r="P27" s="23" t="str">
        <f>IF($N27=0,"",VLOOKUP($N27,seznam!$A$2:$D$268,4))</f>
        <v>Dubňany</v>
      </c>
      <c r="Q27" s="23">
        <f>A28</f>
        <v>45</v>
      </c>
      <c r="R27" s="23" t="str">
        <f>IF($Q27=0,"bye",VLOOKUP($Q27,seznam!$A$2:$C$268,2))</f>
        <v>Feiler Marcel</v>
      </c>
      <c r="S27" s="23" t="str">
        <f>IF($Q27=0,"",VLOOKUP($Q27,seznam!$A$2:$D$268,4))</f>
        <v>Trenčianská Teplá</v>
      </c>
      <c r="T27" s="58" t="s">
        <v>212</v>
      </c>
      <c r="U27" s="59" t="s">
        <v>211</v>
      </c>
      <c r="V27" s="59" t="s">
        <v>211</v>
      </c>
      <c r="W27" s="59"/>
      <c r="X27" s="60"/>
      <c r="Y27" s="23">
        <f t="shared" si="31"/>
        <v>3</v>
      </c>
      <c r="Z27" s="23">
        <f t="shared" si="32"/>
        <v>0</v>
      </c>
      <c r="AA27" s="23">
        <f t="shared" si="33"/>
        <v>8</v>
      </c>
      <c r="AB27" s="23" t="str">
        <f>IF($AA27=0,"",VLOOKUP($AA27,seznam!$A$2:$C$268,2))</f>
        <v>Filip Hromek</v>
      </c>
      <c r="AC27" s="23" t="str">
        <f t="shared" si="34"/>
        <v>3:0 (3,5,5)</v>
      </c>
      <c r="AD27" s="23" t="str">
        <f t="shared" si="35"/>
        <v>3:0 (3,5,5)</v>
      </c>
      <c r="AE27" s="23">
        <f t="shared" si="36"/>
        <v>2</v>
      </c>
      <c r="AF27" s="23">
        <f t="shared" si="37"/>
        <v>1</v>
      </c>
      <c r="AH27" s="23">
        <f t="shared" si="38"/>
        <v>1</v>
      </c>
      <c r="AI27" s="23">
        <f t="shared" si="38"/>
        <v>1</v>
      </c>
      <c r="AJ27" s="23">
        <f t="shared" si="38"/>
        <v>1</v>
      </c>
      <c r="AK27" s="23">
        <f t="shared" si="38"/>
        <v>0</v>
      </c>
      <c r="AL27" s="23">
        <f t="shared" si="38"/>
        <v>0</v>
      </c>
      <c r="AN27" s="23" t="str">
        <f>CONCATENATE("&lt;/Table&gt;&lt;TD width=420&gt;&lt;Table&gt;")</f>
        <v>&lt;/Table&gt;&lt;TD width=420&gt;&lt;Table&gt;</v>
      </c>
      <c r="AO27" s="23" t="str">
        <f>CONCATENATE("&lt;TR&gt;&lt;TD&gt;",A27,"&lt;TD width=200&gt;",B27,"&lt;TD&gt;",C27,"&lt;TD&gt;",D27,"&lt;TD&gt;",E27,"&lt;TD&gt;",F27,"&lt;TD&gt;",G27,"&lt;TD&gt;",H27,"&lt;/TD&gt;&lt;/TR&gt;")</f>
        <v>&lt;TR&gt;&lt;TD&gt;14&lt;TD width=200&gt;David Matan (Israel )&lt;TD&gt;0:3&lt;TD&gt;XXX&lt;TD&gt;3:1&lt;TD&gt;0:3&lt;TD&gt;4&lt;TD&gt;3&lt;/TD&gt;&lt;/TR&gt;</v>
      </c>
      <c r="AP27" s="23" t="str">
        <f>CONCATENATE("&lt;TR&gt;&lt;TD&gt;",J27,"&lt;TD&gt;",K27,"&lt;/TD&gt;&lt;/TR&gt;")</f>
        <v>&lt;TR&gt;&lt;TD&gt;Filip Hromek - Feiler Marcel&lt;TD&gt;3 : 0 (3,5,5)&lt;/TD&gt;&lt;/TR&gt;</v>
      </c>
    </row>
    <row r="28" spans="1:42" ht="16.5" customHeight="1">
      <c r="A28" s="26">
        <v>45</v>
      </c>
      <c r="B28" s="32" t="str">
        <f>IF($A28="","",CONCATENATE(VLOOKUP($A28,seznam!$A$2:$B$268,2)," (",VLOOKUP($A28,seznam!$A$2:$E$269,4),")"))</f>
        <v>Feiler Marcel (Trenčianská Teplá)</v>
      </c>
      <c r="C28" s="36" t="str">
        <f>IF(Y30+Z30=0,"",CONCATENATE(Y30,":",Z30))</f>
        <v>0:3</v>
      </c>
      <c r="D28" s="27" t="str">
        <f>IF(Y26+Z26=0,"",CONCATENATE(Z26,":",Y26))</f>
        <v>1:3</v>
      </c>
      <c r="E28" s="27" t="s">
        <v>30</v>
      </c>
      <c r="F28" s="28" t="str">
        <f>IF(Y27+Z27=0,"",CONCATENATE(Z27,":",Y27))</f>
        <v>0:3</v>
      </c>
      <c r="G28" s="34">
        <f>IF(AF26+AF27+AE30=0,"",AF26+AF27+AE30)</f>
        <v>3</v>
      </c>
      <c r="H28" s="28">
        <v>4</v>
      </c>
      <c r="J28" s="23" t="str">
        <f t="shared" si="29"/>
        <v>Schlie Jonah - David Matan</v>
      </c>
      <c r="K28" s="23" t="str">
        <f t="shared" si="30"/>
        <v>3 : 0 (5,5,0)</v>
      </c>
      <c r="M28" s="23" t="str">
        <f>CONCATENATE("2.st. ",úvod!$C$8," - ",M24)</f>
        <v>2.st. YOUNGER CADET BOYS - Skupina D</v>
      </c>
      <c r="N28" s="23">
        <f>A26</f>
        <v>33</v>
      </c>
      <c r="O28" s="23" t="str">
        <f>IF($N28=0,"bye",VLOOKUP($N28,seznam!$A$2:$C$268,2))</f>
        <v>Schlie Jonah</v>
      </c>
      <c r="P28" s="23" t="str">
        <f>IF($N28=0,"",VLOOKUP($N28,seznam!$A$2:$D$268,4))</f>
        <v>Niedersachsen </v>
      </c>
      <c r="Q28" s="23">
        <f>A27</f>
        <v>14</v>
      </c>
      <c r="R28" s="23" t="str">
        <f>IF($Q28=0,"bye",VLOOKUP($Q28,seznam!$A$2:$C$268,2))</f>
        <v>David Matan</v>
      </c>
      <c r="S28" s="23" t="str">
        <f>IF($Q28=0,"",VLOOKUP($Q28,seznam!$A$2:$D$268,4))</f>
        <v>Israel </v>
      </c>
      <c r="T28" s="58" t="s">
        <v>211</v>
      </c>
      <c r="U28" s="59" t="s">
        <v>211</v>
      </c>
      <c r="V28" s="59" t="s">
        <v>226</v>
      </c>
      <c r="W28" s="59"/>
      <c r="X28" s="60"/>
      <c r="Y28" s="23">
        <f t="shared" si="31"/>
        <v>3</v>
      </c>
      <c r="Z28" s="23">
        <f t="shared" si="32"/>
        <v>0</v>
      </c>
      <c r="AA28" s="23">
        <f t="shared" si="33"/>
        <v>33</v>
      </c>
      <c r="AB28" s="23" t="str">
        <f>IF($AA28=0,"",VLOOKUP($AA28,seznam!$A$2:$C$268,2))</f>
        <v>Schlie Jonah</v>
      </c>
      <c r="AC28" s="23" t="str">
        <f t="shared" si="34"/>
        <v>3:0 (5,5,0)</v>
      </c>
      <c r="AD28" s="23" t="str">
        <f t="shared" si="35"/>
        <v>3:0 (5,5,0)</v>
      </c>
      <c r="AE28" s="23">
        <f t="shared" si="36"/>
        <v>2</v>
      </c>
      <c r="AF28" s="23">
        <f t="shared" si="37"/>
        <v>1</v>
      </c>
      <c r="AH28" s="23">
        <f t="shared" si="38"/>
        <v>1</v>
      </c>
      <c r="AI28" s="23">
        <f t="shared" si="38"/>
        <v>1</v>
      </c>
      <c r="AJ28" s="23">
        <f t="shared" si="38"/>
        <v>1</v>
      </c>
      <c r="AK28" s="23">
        <f t="shared" si="38"/>
        <v>0</v>
      </c>
      <c r="AL28" s="23">
        <f t="shared" si="38"/>
        <v>0</v>
      </c>
      <c r="AN28" s="23" t="str">
        <f>CONCATENATE(AP25,AP26,AP27,AP28,AP29,AP30,)</f>
        <v>&lt;TR&gt;&lt;TD width=250&gt;Schlie Jonah - Filip Hromek&lt;TD&gt;3 : 0 (6,4,3)&lt;/TD&gt;&lt;/TR&gt;&lt;TR&gt;&lt;TD&gt;David Matan - Feiler Marcel&lt;TD&gt;3 : 1 (5,8,-9,4)&lt;/TD&gt;&lt;/TR&gt;&lt;TR&gt;&lt;TD&gt;Filip Hromek - Feiler Marcel&lt;TD&gt;3 : 0 (3,5,5)&lt;/TD&gt;&lt;/TR&gt;&lt;TR&gt;&lt;TD&gt;Schlie Jonah - David Matan&lt;TD&gt;3 : 0 (5,5,0)&lt;/TD&gt;&lt;/TR&gt;&lt;TR&gt;&lt;TD&gt;David Matan - Filip Hromek&lt;TD&gt;0 : 3 (-4,-3,-8)&lt;/TD&gt;&lt;/TR&gt;&lt;TR&gt;&lt;TD&gt;Feiler Marcel - Schlie Jonah&lt;TD&gt;0 : 3 (-4,-2,-1)&lt;/TD&gt;&lt;/TR&gt;</v>
      </c>
      <c r="AO28" s="23" t="str">
        <f>CONCATENATE("&lt;TR&gt;&lt;TD&gt;",A28,"&lt;TD width=200&gt;",B28,"&lt;TD&gt;",C28,"&lt;TD&gt;",D28,"&lt;TD&gt;",E28,"&lt;TD&gt;",F28,"&lt;TD&gt;",G28,"&lt;TD&gt;",H28,"&lt;/TD&gt;&lt;/TR&gt;")</f>
        <v>&lt;TR&gt;&lt;TD&gt;45&lt;TD width=200&gt;Feiler Marcel (Trenčianská Teplá)&lt;TD&gt;0:3&lt;TD&gt;1:3&lt;TD&gt;XXX&lt;TD&gt;0:3&lt;TD&gt;3&lt;TD&gt;4&lt;/TD&gt;&lt;/TR&gt;</v>
      </c>
      <c r="AP28" s="23" t="str">
        <f>CONCATENATE("&lt;TR&gt;&lt;TD&gt;",J28,"&lt;TD&gt;",K28,"&lt;/TD&gt;&lt;/TR&gt;")</f>
        <v>&lt;TR&gt;&lt;TD&gt;Schlie Jonah - David Matan&lt;TD&gt;3 : 0 (5,5,0)&lt;/TD&gt;&lt;/TR&gt;</v>
      </c>
    </row>
    <row r="29" spans="1:42" ht="16.5" customHeight="1" thickBot="1">
      <c r="A29" s="29">
        <v>8</v>
      </c>
      <c r="B29" s="33" t="str">
        <f>IF($A29="","",CONCATENATE(VLOOKUP($A29,seznam!$A$2:$B$268,2)," (",VLOOKUP($A29,seznam!$A$2:$E$269,4),")"))</f>
        <v>Filip Hromek (Dubňany)</v>
      </c>
      <c r="C29" s="37" t="str">
        <f>IF(Y25+Z25=0,"",CONCATENATE(Z25,":",Y25))</f>
        <v>0:3</v>
      </c>
      <c r="D29" s="30" t="str">
        <f>IF(Y29+Z29=0,"",CONCATENATE(Z29,":",Y29))</f>
        <v>3:0</v>
      </c>
      <c r="E29" s="30" t="str">
        <f>IF(Y27+Z27=0,"",CONCATENATE(Y27,":",Z27))</f>
        <v>3:0</v>
      </c>
      <c r="F29" s="31" t="s">
        <v>30</v>
      </c>
      <c r="G29" s="35">
        <f>IF(AF25+AE27+AF29=0,"",AF25+AE27+AF29)</f>
        <v>5</v>
      </c>
      <c r="H29" s="31">
        <v>2</v>
      </c>
      <c r="J29" s="23" t="str">
        <f t="shared" si="29"/>
        <v>David Matan - Filip Hromek</v>
      </c>
      <c r="K29" s="23" t="str">
        <f t="shared" si="30"/>
        <v>0 : 3 (-4,-3,-8)</v>
      </c>
      <c r="M29" s="23" t="str">
        <f>CONCATENATE("2.st. ",úvod!$C$8," - ",M24)</f>
        <v>2.st. YOUNGER CADET BOYS - Skupina D</v>
      </c>
      <c r="N29" s="23">
        <f>A27</f>
        <v>14</v>
      </c>
      <c r="O29" s="23" t="str">
        <f>IF($N29=0,"bye",VLOOKUP($N29,seznam!$A$2:$C$268,2))</f>
        <v>David Matan</v>
      </c>
      <c r="P29" s="23" t="str">
        <f>IF($N29=0,"",VLOOKUP($N29,seznam!$A$2:$D$268,4))</f>
        <v>Israel </v>
      </c>
      <c r="Q29" s="23">
        <f>A29</f>
        <v>8</v>
      </c>
      <c r="R29" s="23" t="str">
        <f>IF($Q29=0,"bye",VLOOKUP($Q29,seznam!$A$2:$C$268,2))</f>
        <v>Filip Hromek</v>
      </c>
      <c r="S29" s="23" t="str">
        <f>IF($Q29=0,"",VLOOKUP($Q29,seznam!$A$2:$D$268,4))</f>
        <v>Dubňany</v>
      </c>
      <c r="T29" s="58" t="s">
        <v>225</v>
      </c>
      <c r="U29" s="59" t="s">
        <v>228</v>
      </c>
      <c r="V29" s="59" t="s">
        <v>215</v>
      </c>
      <c r="W29" s="59"/>
      <c r="X29" s="60"/>
      <c r="Y29" s="23">
        <f t="shared" si="31"/>
        <v>0</v>
      </c>
      <c r="Z29" s="23">
        <f t="shared" si="32"/>
        <v>3</v>
      </c>
      <c r="AA29" s="23">
        <f t="shared" si="33"/>
        <v>8</v>
      </c>
      <c r="AB29" s="23" t="str">
        <f>IF($AA29=0,"",VLOOKUP($AA29,seznam!$A$2:$C$268,2))</f>
        <v>Filip Hromek</v>
      </c>
      <c r="AC29" s="23" t="str">
        <f t="shared" si="34"/>
        <v>3:0 (4,3,8)</v>
      </c>
      <c r="AD29" s="23" t="str">
        <f t="shared" si="35"/>
        <v>3:0 (4,3,8)</v>
      </c>
      <c r="AE29" s="23">
        <f t="shared" si="36"/>
        <v>1</v>
      </c>
      <c r="AF29" s="23">
        <f t="shared" si="37"/>
        <v>2</v>
      </c>
      <c r="AH29" s="23">
        <f t="shared" si="38"/>
        <v>-1</v>
      </c>
      <c r="AI29" s="23">
        <f t="shared" si="38"/>
        <v>-1</v>
      </c>
      <c r="AJ29" s="23">
        <f t="shared" si="38"/>
        <v>-1</v>
      </c>
      <c r="AK29" s="23">
        <f t="shared" si="38"/>
        <v>0</v>
      </c>
      <c r="AL29" s="23">
        <f t="shared" si="38"/>
        <v>0</v>
      </c>
      <c r="AN29" s="23" t="str">
        <f>CONCATENATE("&lt;/Table&gt;&lt;/TD&gt;&lt;/TR&gt;&lt;/Table&gt;&lt;P&gt;")</f>
        <v>&lt;/Table&gt;&lt;/TD&gt;&lt;/TR&gt;&lt;/Table&gt;&lt;P&gt;</v>
      </c>
      <c r="AO29" s="23" t="str">
        <f>CONCATENATE("&lt;TR&gt;&lt;TD&gt;",A29,"&lt;TD width=200&gt;",B29,"&lt;TD&gt;",C29,"&lt;TD&gt;",D29,"&lt;TD&gt;",E29,"&lt;TD&gt;",F29,"&lt;TD&gt;",G29,"&lt;TD&gt;",H29,"&lt;/TD&gt;&lt;/TR&gt;")</f>
        <v>&lt;TR&gt;&lt;TD&gt;8&lt;TD width=200&gt;Filip Hromek (Dubňany)&lt;TD&gt;0:3&lt;TD&gt;3:0&lt;TD&gt;3:0&lt;TD&gt;XXX&lt;TD&gt;5&lt;TD&gt;2&lt;/TD&gt;&lt;/TR&gt;</v>
      </c>
      <c r="AP29" s="23" t="str">
        <f>CONCATENATE("&lt;TR&gt;&lt;TD&gt;",J29,"&lt;TD&gt;",K29,"&lt;/TD&gt;&lt;/TR&gt;")</f>
        <v>&lt;TR&gt;&lt;TD&gt;David Matan - Filip Hromek&lt;TD&gt;0 : 3 (-4,-3,-8)&lt;/TD&gt;&lt;/TR&gt;</v>
      </c>
    </row>
    <row r="30" spans="10:42" ht="16.5" customHeight="1" thickBot="1" thickTop="1">
      <c r="J30" s="23" t="str">
        <f t="shared" si="29"/>
        <v>Feiler Marcel - Schlie Jonah</v>
      </c>
      <c r="K30" s="23" t="str">
        <f t="shared" si="30"/>
        <v>0 : 3 (-4,-2,-1)</v>
      </c>
      <c r="M30" s="23" t="str">
        <f>CONCATENATE("2.st. ",úvod!$C$8," - ",M24)</f>
        <v>2.st. YOUNGER CADET BOYS - Skupina D</v>
      </c>
      <c r="N30" s="23">
        <f>A28</f>
        <v>45</v>
      </c>
      <c r="O30" s="23" t="str">
        <f>IF($N30=0,"bye",VLOOKUP($N30,seznam!$A$2:$C$268,2))</f>
        <v>Feiler Marcel</v>
      </c>
      <c r="P30" s="23" t="str">
        <f>IF($N30=0,"",VLOOKUP($N30,seznam!$A$2:$D$268,4))</f>
        <v>Trenčianská Teplá</v>
      </c>
      <c r="Q30" s="23">
        <f>A26</f>
        <v>33</v>
      </c>
      <c r="R30" s="23" t="str">
        <f>IF($Q30=0,"bye",VLOOKUP($Q30,seznam!$A$2:$C$268,2))</f>
        <v>Schlie Jonah</v>
      </c>
      <c r="S30" s="23" t="str">
        <f>IF($Q30=0,"",VLOOKUP($Q30,seznam!$A$2:$D$268,4))</f>
        <v>Niedersachsen </v>
      </c>
      <c r="T30" s="61" t="s">
        <v>225</v>
      </c>
      <c r="U30" s="62" t="s">
        <v>229</v>
      </c>
      <c r="V30" s="62" t="s">
        <v>230</v>
      </c>
      <c r="W30" s="62"/>
      <c r="X30" s="63"/>
      <c r="Y30" s="23">
        <f t="shared" si="31"/>
        <v>0</v>
      </c>
      <c r="Z30" s="23">
        <f t="shared" si="32"/>
        <v>3</v>
      </c>
      <c r="AA30" s="23">
        <f t="shared" si="33"/>
        <v>33</v>
      </c>
      <c r="AB30" s="23" t="str">
        <f>IF($AA30=0,"",VLOOKUP($AA30,seznam!$A$2:$C$268,2))</f>
        <v>Schlie Jonah</v>
      </c>
      <c r="AC30" s="23" t="str">
        <f t="shared" si="34"/>
        <v>3:0 (4,2,1)</v>
      </c>
      <c r="AD30" s="23" t="str">
        <f t="shared" si="35"/>
        <v>3:0 (4,2,1)</v>
      </c>
      <c r="AE30" s="23">
        <f t="shared" si="36"/>
        <v>1</v>
      </c>
      <c r="AF30" s="23">
        <f t="shared" si="37"/>
        <v>2</v>
      </c>
      <c r="AH30" s="23">
        <f t="shared" si="38"/>
        <v>-1</v>
      </c>
      <c r="AI30" s="23">
        <f t="shared" si="38"/>
        <v>-1</v>
      </c>
      <c r="AJ30" s="23">
        <f t="shared" si="38"/>
        <v>-1</v>
      </c>
      <c r="AK30" s="23">
        <f t="shared" si="38"/>
        <v>0</v>
      </c>
      <c r="AL30" s="23">
        <f t="shared" si="38"/>
        <v>0</v>
      </c>
      <c r="AP30" s="23" t="str">
        <f>CONCATENATE("&lt;TR&gt;&lt;TD&gt;",J30,"&lt;TD&gt;",K30,"&lt;/TD&gt;&lt;/TR&gt;")</f>
        <v>&lt;TR&gt;&lt;TD&gt;Feiler Marcel - Schlie Jonah&lt;TD&gt;0 : 3 (-4,-2,-1)&lt;/TD&gt;&lt;/TR&gt;</v>
      </c>
    </row>
    <row r="31" spans="13:40" ht="16.5" customHeight="1" thickBot="1" thickTop="1">
      <c r="M31" s="24" t="str">
        <f>B32</f>
        <v>Skupina E</v>
      </c>
      <c r="N31" s="24" t="s">
        <v>0</v>
      </c>
      <c r="O31" s="24" t="s">
        <v>1</v>
      </c>
      <c r="P31" s="24" t="s">
        <v>2</v>
      </c>
      <c r="Q31" s="24" t="s">
        <v>0</v>
      </c>
      <c r="R31" s="24" t="s">
        <v>3</v>
      </c>
      <c r="S31" s="24" t="s">
        <v>2</v>
      </c>
      <c r="T31" s="25" t="s">
        <v>4</v>
      </c>
      <c r="U31" s="25" t="s">
        <v>5</v>
      </c>
      <c r="V31" s="25" t="s">
        <v>6</v>
      </c>
      <c r="W31" s="25" t="s">
        <v>7</v>
      </c>
      <c r="X31" s="25" t="s">
        <v>8</v>
      </c>
      <c r="Y31" s="24" t="s">
        <v>9</v>
      </c>
      <c r="Z31" s="24" t="s">
        <v>10</v>
      </c>
      <c r="AA31" s="24" t="s">
        <v>11</v>
      </c>
      <c r="AN31" s="23" t="s">
        <v>16</v>
      </c>
    </row>
    <row r="32" spans="1:42" ht="16.5" customHeight="1" thickBot="1" thickTop="1">
      <c r="A32" s="44"/>
      <c r="B32" s="45" t="s">
        <v>22</v>
      </c>
      <c r="C32" s="46">
        <v>1</v>
      </c>
      <c r="D32" s="47">
        <v>2</v>
      </c>
      <c r="E32" s="47">
        <v>3</v>
      </c>
      <c r="F32" s="48">
        <v>4</v>
      </c>
      <c r="G32" s="49" t="s">
        <v>14</v>
      </c>
      <c r="H32" s="48" t="s">
        <v>15</v>
      </c>
      <c r="J32" s="23" t="str">
        <f aca="true" t="shared" si="39" ref="J32:J37">CONCATENATE(O32," - ",R32)</f>
        <v>Ševec Jakub - Lancz Vojtěch</v>
      </c>
      <c r="K32" s="23" t="str">
        <f aca="true" t="shared" si="40" ref="K32:K37">IF(SUM(Y32:Z32)=0,AD32,CONCATENATE(Y32," : ",Z32," (",T32,",",U32,",",V32,IF(Y32+Z32&gt;3,",",""),W32,IF(Y32+Z32&gt;4,",",""),X32,")"))</f>
        <v>3 : 0 (6,3,8)</v>
      </c>
      <c r="M32" s="23" t="str">
        <f>CONCATENATE("2.st. ",úvod!$C$8," - ",M31)</f>
        <v>2.st. YOUNGER CADET BOYS - Skupina E</v>
      </c>
      <c r="N32" s="23">
        <f>A33</f>
        <v>34</v>
      </c>
      <c r="O32" s="23" t="str">
        <f>IF($N32=0,"bye",VLOOKUP($N32,seznam!$A$2:$C$268,2))</f>
        <v>Ševec Jakub</v>
      </c>
      <c r="P32" s="23" t="str">
        <f>IF($N32=0,"",VLOOKUP($N32,seznam!$A$2:$D$268,4))</f>
        <v>Nitra </v>
      </c>
      <c r="Q32" s="23">
        <f>A36</f>
        <v>9</v>
      </c>
      <c r="R32" s="23" t="str">
        <f>IF($Q32=0,"bye",VLOOKUP($Q32,seznam!$A$2:$C$268,2))</f>
        <v>Lancz Vojtěch</v>
      </c>
      <c r="S32" s="23" t="str">
        <f>IF($Q32=0,"",VLOOKUP($Q32,seznam!$A$2:$D$268,4))</f>
        <v>Gasto Galanta</v>
      </c>
      <c r="T32" s="55" t="s">
        <v>210</v>
      </c>
      <c r="U32" s="56" t="s">
        <v>212</v>
      </c>
      <c r="V32" s="56" t="s">
        <v>208</v>
      </c>
      <c r="W32" s="56"/>
      <c r="X32" s="57"/>
      <c r="Y32" s="23">
        <f aca="true" t="shared" si="41" ref="Y32:Y37">COUNTIF(AH32:AL32,"&gt;0")</f>
        <v>3</v>
      </c>
      <c r="Z32" s="23">
        <f>COUNTIF(AH32:AL32,"&lt;0")</f>
        <v>0</v>
      </c>
      <c r="AA32" s="23">
        <f aca="true" t="shared" si="42" ref="AA32:AA37">IF(Y32=Z32,0,IF(Y32&gt;Z32,N32,Q32))</f>
        <v>34</v>
      </c>
      <c r="AB32" s="23" t="str">
        <f>IF($AA32=0,"",VLOOKUP($AA32,seznam!$A$2:$C$268,2))</f>
        <v>Ševec Jakub</v>
      </c>
      <c r="AC32" s="23" t="str">
        <f aca="true" t="shared" si="43" ref="AC32:AC37">IF(Y32=Z32,"",IF(Y32&gt;Z32,CONCATENATE(Y32,":",Z32," (",T32,",",U32,",",V32,IF(SUM(Y32:Z32)&gt;3,",",""),W32,IF(SUM(Y32:Z32)&gt;4,",",""),X32,")"),CONCATENATE(Z32,":",Y32," (",-T32,",",-U32,",",-V32,IF(SUM(Y32:Z32)&gt;3,CONCATENATE(",",-W32),""),IF(SUM(Y32:Z32)&gt;4,CONCATENATE(",",-X32),""),")")))</f>
        <v>3:0 (6,3,8)</v>
      </c>
      <c r="AD32" s="23" t="str">
        <f aca="true" t="shared" si="44" ref="AD32:AD37">IF(SUM(Y32:Z32)=0,"",AC32)</f>
        <v>3:0 (6,3,8)</v>
      </c>
      <c r="AE32" s="23">
        <f aca="true" t="shared" si="45" ref="AE32:AE37">IF(T32="",0,IF(Y32&gt;Z32,2,1))</f>
        <v>2</v>
      </c>
      <c r="AF32" s="23">
        <f aca="true" t="shared" si="46" ref="AF32:AF37">IF(T32="",0,IF(Z32&gt;Y32,2,1))</f>
        <v>1</v>
      </c>
      <c r="AH32" s="23">
        <f aca="true" t="shared" si="47" ref="AH32:AL37">IF(T32="",0,IF(MID(T32,1,1)="-",-1,1))</f>
        <v>1</v>
      </c>
      <c r="AI32" s="23">
        <f t="shared" si="47"/>
        <v>1</v>
      </c>
      <c r="AJ32" s="23">
        <f t="shared" si="47"/>
        <v>1</v>
      </c>
      <c r="AK32" s="23">
        <f t="shared" si="47"/>
        <v>0</v>
      </c>
      <c r="AL32" s="23">
        <f t="shared" si="47"/>
        <v>0</v>
      </c>
      <c r="AN32" s="23" t="str">
        <f>CONCATENATE("&lt;Table border=1 cellpading=0 cellspacing=0 width=480&gt;&lt;TR&gt;&lt;TH colspan=2&gt;",B32,"&lt;TH&gt;1&lt;TH&gt;2&lt;TH&gt;3&lt;TH&gt;4&lt;TH&gt;Body&lt;TH&gt;Pořadí&lt;/TH&gt;&lt;/TR&gt;")</f>
        <v>&lt;Table border=1 cellpading=0 cellspacing=0 width=480&gt;&lt;TR&gt;&lt;TH colspan=2&gt;Skupina E&lt;TH&gt;1&lt;TH&gt;2&lt;TH&gt;3&lt;TH&gt;4&lt;TH&gt;Body&lt;TH&gt;Pořadí&lt;/TH&gt;&lt;/TR&gt;</v>
      </c>
      <c r="AP32" s="23" t="str">
        <f>CONCATENATE("&lt;TR&gt;&lt;TD width=250&gt;",J32,"&lt;TD&gt;",K32,"&lt;/TD&gt;&lt;/TR&gt;")</f>
        <v>&lt;TR&gt;&lt;TD width=250&gt;Ševec Jakub - Lancz Vojtěch&lt;TD&gt;3 : 0 (6,3,8)&lt;/TD&gt;&lt;/TR&gt;</v>
      </c>
    </row>
    <row r="33" spans="1:42" ht="16.5" customHeight="1" thickTop="1">
      <c r="A33" s="38">
        <v>34</v>
      </c>
      <c r="B33" s="39" t="str">
        <f>IF($A33="","",CONCATENATE(VLOOKUP($A33,seznam!$A$2:$B$268,2)," (",VLOOKUP($A33,seznam!$A$2:$E$269,4),")"))</f>
        <v>Ševec Jakub (Nitra )</v>
      </c>
      <c r="C33" s="40" t="s">
        <v>30</v>
      </c>
      <c r="D33" s="41" t="str">
        <f>IF(Y35+Z35=0,"",CONCATENATE(Y35,":",Z35))</f>
        <v>3:1</v>
      </c>
      <c r="E33" s="41" t="str">
        <f>IF(Y37+Z37=0,"",CONCATENATE(Z37,":",Y37))</f>
        <v>3:0</v>
      </c>
      <c r="F33" s="42" t="str">
        <f>IF(Y32+Z32=0,"",CONCATENATE(Y32,":",Z32))</f>
        <v>3:0</v>
      </c>
      <c r="G33" s="43">
        <f>IF(AE32+AE35+AF37=0,"",AE32+AE35+AF37)</f>
        <v>6</v>
      </c>
      <c r="H33" s="42">
        <v>1</v>
      </c>
      <c r="J33" s="23" t="str">
        <f t="shared" si="39"/>
        <v>Shusterman Yonatan - Oharek David</v>
      </c>
      <c r="K33" s="23" t="str">
        <f t="shared" si="40"/>
        <v>3 : 0 (7,9,4)</v>
      </c>
      <c r="M33" s="23" t="str">
        <f>CONCATENATE("2.st. ",úvod!$C$8," - ",M31)</f>
        <v>2.st. YOUNGER CADET BOYS - Skupina E</v>
      </c>
      <c r="N33" s="23">
        <f>A34</f>
        <v>15</v>
      </c>
      <c r="O33" s="23" t="str">
        <f>IF($N33=0,"bye",VLOOKUP($N33,seznam!$A$2:$C$268,2))</f>
        <v>Shusterman Yonatan</v>
      </c>
      <c r="P33" s="23" t="str">
        <f>IF($N33=0,"",VLOOKUP($N33,seznam!$A$2:$D$268,4))</f>
        <v>Israel </v>
      </c>
      <c r="Q33" s="23">
        <f>A35</f>
        <v>52</v>
      </c>
      <c r="R33" s="23" t="str">
        <f>IF($Q33=0,"bye",VLOOKUP($Q33,seznam!$A$2:$C$268,2))</f>
        <v>Oharek David</v>
      </c>
      <c r="S33" s="23" t="str">
        <f>IF($Q33=0,"",VLOOKUP($Q33,seznam!$A$2:$D$268,4))</f>
        <v>Zlín</v>
      </c>
      <c r="T33" s="58" t="s">
        <v>209</v>
      </c>
      <c r="U33" s="59" t="s">
        <v>213</v>
      </c>
      <c r="V33" s="59" t="s">
        <v>220</v>
      </c>
      <c r="W33" s="59"/>
      <c r="X33" s="60"/>
      <c r="Y33" s="23">
        <f t="shared" si="41"/>
        <v>3</v>
      </c>
      <c r="Z33" s="23">
        <f>COUNTIF(AH33:AL33,"&lt;0")</f>
        <v>0</v>
      </c>
      <c r="AA33" s="23">
        <f t="shared" si="42"/>
        <v>15</v>
      </c>
      <c r="AB33" s="23" t="str">
        <f>IF($AA33=0,"",VLOOKUP($AA33,seznam!$A$2:$C$268,2))</f>
        <v>Shusterman Yonatan</v>
      </c>
      <c r="AC33" s="23" t="str">
        <f t="shared" si="43"/>
        <v>3:0 (7,9,4)</v>
      </c>
      <c r="AD33" s="23" t="str">
        <f t="shared" si="44"/>
        <v>3:0 (7,9,4)</v>
      </c>
      <c r="AE33" s="23">
        <f t="shared" si="45"/>
        <v>2</v>
      </c>
      <c r="AF33" s="23">
        <f t="shared" si="46"/>
        <v>1</v>
      </c>
      <c r="AH33" s="23">
        <f t="shared" si="47"/>
        <v>1</v>
      </c>
      <c r="AI33" s="23">
        <f t="shared" si="47"/>
        <v>1</v>
      </c>
      <c r="AJ33" s="23">
        <f t="shared" si="47"/>
        <v>1</v>
      </c>
      <c r="AK33" s="23">
        <f t="shared" si="47"/>
        <v>0</v>
      </c>
      <c r="AL33" s="23">
        <f t="shared" si="47"/>
        <v>0</v>
      </c>
      <c r="AN33" s="23" t="str">
        <f>CONCATENATE(AO33,AO34,AO35,AO36,)</f>
        <v>&lt;TR&gt;&lt;TD&gt;34&lt;TD width=200&gt;Ševec Jakub (Nitra )&lt;TD&gt;XXX&lt;TD&gt;3:1&lt;TD&gt;3:0&lt;TD&gt;3:0&lt;TD&gt;6&lt;TD&gt;1&lt;/TD&gt;&lt;/TR&gt;&lt;TR&gt;&lt;TD&gt;15&lt;TD width=200&gt;Shusterman Yonatan (Israel )&lt;TD&gt;1:3&lt;TD&gt;XXX&lt;TD&gt;3:0&lt;TD&gt;3:0&lt;TD&gt;5&lt;TD&gt;2&lt;/TD&gt;&lt;/TR&gt;&lt;TR&gt;&lt;TD&gt;52&lt;TD width=200&gt;Oharek David (Zlín)&lt;TD&gt;0:3&lt;TD&gt;0:3&lt;TD&gt;XXX&lt;TD&gt;3:0&lt;TD&gt;4&lt;TD&gt;3&lt;/TD&gt;&lt;/TR&gt;&lt;TR&gt;&lt;TD&gt;9&lt;TD width=200&gt;Lancz Vojtěch (Gasto Galanta)&lt;TD&gt;0:3&lt;TD&gt;0:3&lt;TD&gt;0:3&lt;TD&gt;XXX&lt;TD&gt;3&lt;TD&gt;4&lt;/TD&gt;&lt;/TR&gt;</v>
      </c>
      <c r="AO33" s="23" t="str">
        <f>CONCATENATE("&lt;TR&gt;&lt;TD&gt;",A33,"&lt;TD width=200&gt;",B33,"&lt;TD&gt;",C33,"&lt;TD&gt;",D33,"&lt;TD&gt;",E33,"&lt;TD&gt;",F33,"&lt;TD&gt;",G33,"&lt;TD&gt;",H33,"&lt;/TD&gt;&lt;/TR&gt;")</f>
        <v>&lt;TR&gt;&lt;TD&gt;34&lt;TD width=200&gt;Ševec Jakub (Nitra )&lt;TD&gt;XXX&lt;TD&gt;3:1&lt;TD&gt;3:0&lt;TD&gt;3:0&lt;TD&gt;6&lt;TD&gt;1&lt;/TD&gt;&lt;/TR&gt;</v>
      </c>
      <c r="AP33" s="23" t="str">
        <f>CONCATENATE("&lt;TR&gt;&lt;TD&gt;",J33,"&lt;TD&gt;",K33,"&lt;/TD&gt;&lt;/TR&gt;")</f>
        <v>&lt;TR&gt;&lt;TD&gt;Shusterman Yonatan - Oharek David&lt;TD&gt;3 : 0 (7,9,4)&lt;/TD&gt;&lt;/TR&gt;</v>
      </c>
    </row>
    <row r="34" spans="1:42" ht="16.5" customHeight="1">
      <c r="A34" s="26">
        <v>15</v>
      </c>
      <c r="B34" s="32" t="str">
        <f>IF($A34="","",CONCATENATE(VLOOKUP($A34,seznam!$A$2:$B$268,2)," (",VLOOKUP($A34,seznam!$A$2:$E$269,4),")"))</f>
        <v>Shusterman Yonatan (Israel )</v>
      </c>
      <c r="C34" s="36" t="str">
        <f>IF(Y35+Z35=0,"",CONCATENATE(Z35,":",Y35))</f>
        <v>1:3</v>
      </c>
      <c r="D34" s="27" t="s">
        <v>30</v>
      </c>
      <c r="E34" s="27" t="str">
        <f>IF(Y33+Z33=0,"",CONCATENATE(Y33,":",Z33))</f>
        <v>3:0</v>
      </c>
      <c r="F34" s="28" t="str">
        <f>IF(Y36+Z36=0,"",CONCATENATE(Y36,":",Z36))</f>
        <v>3:0</v>
      </c>
      <c r="G34" s="34">
        <f>IF(AE33+AF35+AE36=0,"",AE33+AF35+AE36)</f>
        <v>5</v>
      </c>
      <c r="H34" s="28">
        <v>2</v>
      </c>
      <c r="J34" s="23" t="str">
        <f t="shared" si="39"/>
        <v>Lancz Vojtěch - Oharek David</v>
      </c>
      <c r="K34" s="23" t="str">
        <f t="shared" si="40"/>
        <v>0 : 3 (-10,-5,-5)</v>
      </c>
      <c r="M34" s="23" t="str">
        <f>CONCATENATE("2.st. ",úvod!$C$8," - ",M31)</f>
        <v>2.st. YOUNGER CADET BOYS - Skupina E</v>
      </c>
      <c r="N34" s="23">
        <f>A36</f>
        <v>9</v>
      </c>
      <c r="O34" s="23" t="str">
        <f>IF($N34=0,"bye",VLOOKUP($N34,seznam!$A$2:$C$268,2))</f>
        <v>Lancz Vojtěch</v>
      </c>
      <c r="P34" s="23" t="str">
        <f>IF($N34=0,"",VLOOKUP($N34,seznam!$A$2:$D$268,4))</f>
        <v>Gasto Galanta</v>
      </c>
      <c r="Q34" s="23">
        <f>A35</f>
        <v>52</v>
      </c>
      <c r="R34" s="23" t="str">
        <f>IF($Q34=0,"bye",VLOOKUP($Q34,seznam!$A$2:$C$268,2))</f>
        <v>Oharek David</v>
      </c>
      <c r="S34" s="23" t="str">
        <f>IF($Q34=0,"",VLOOKUP($Q34,seznam!$A$2:$D$268,4))</f>
        <v>Zlín</v>
      </c>
      <c r="T34" s="58" t="s">
        <v>214</v>
      </c>
      <c r="U34" s="59" t="s">
        <v>224</v>
      </c>
      <c r="V34" s="59" t="s">
        <v>224</v>
      </c>
      <c r="W34" s="59"/>
      <c r="X34" s="60"/>
      <c r="Y34" s="23">
        <f t="shared" si="41"/>
        <v>0</v>
      </c>
      <c r="Z34" s="23">
        <f>COUNTIF(AH34:AL34,"&lt;0")</f>
        <v>3</v>
      </c>
      <c r="AA34" s="23">
        <f t="shared" si="42"/>
        <v>52</v>
      </c>
      <c r="AB34" s="23" t="str">
        <f>IF($AA34=0,"",VLOOKUP($AA34,seznam!$A$2:$C$268,2))</f>
        <v>Oharek David</v>
      </c>
      <c r="AC34" s="23" t="str">
        <f t="shared" si="43"/>
        <v>3:0 (10,5,5)</v>
      </c>
      <c r="AD34" s="23" t="str">
        <f t="shared" si="44"/>
        <v>3:0 (10,5,5)</v>
      </c>
      <c r="AE34" s="23">
        <f t="shared" si="45"/>
        <v>1</v>
      </c>
      <c r="AF34" s="23">
        <f t="shared" si="46"/>
        <v>2</v>
      </c>
      <c r="AH34" s="23">
        <f t="shared" si="47"/>
        <v>-1</v>
      </c>
      <c r="AI34" s="23">
        <f t="shared" si="47"/>
        <v>-1</v>
      </c>
      <c r="AJ34" s="23">
        <f t="shared" si="47"/>
        <v>-1</v>
      </c>
      <c r="AK34" s="23">
        <f t="shared" si="47"/>
        <v>0</v>
      </c>
      <c r="AL34" s="23">
        <f t="shared" si="47"/>
        <v>0</v>
      </c>
      <c r="AN34" s="23" t="str">
        <f>CONCATENATE("&lt;/Table&gt;&lt;TD width=420&gt;&lt;Table&gt;")</f>
        <v>&lt;/Table&gt;&lt;TD width=420&gt;&lt;Table&gt;</v>
      </c>
      <c r="AO34" s="23" t="str">
        <f>CONCATENATE("&lt;TR&gt;&lt;TD&gt;",A34,"&lt;TD width=200&gt;",B34,"&lt;TD&gt;",C34,"&lt;TD&gt;",D34,"&lt;TD&gt;",E34,"&lt;TD&gt;",F34,"&lt;TD&gt;",G34,"&lt;TD&gt;",H34,"&lt;/TD&gt;&lt;/TR&gt;")</f>
        <v>&lt;TR&gt;&lt;TD&gt;15&lt;TD width=200&gt;Shusterman Yonatan (Israel )&lt;TD&gt;1:3&lt;TD&gt;XXX&lt;TD&gt;3:0&lt;TD&gt;3:0&lt;TD&gt;5&lt;TD&gt;2&lt;/TD&gt;&lt;/TR&gt;</v>
      </c>
      <c r="AP34" s="23" t="str">
        <f>CONCATENATE("&lt;TR&gt;&lt;TD&gt;",J34,"&lt;TD&gt;",K34,"&lt;/TD&gt;&lt;/TR&gt;")</f>
        <v>&lt;TR&gt;&lt;TD&gt;Lancz Vojtěch - Oharek David&lt;TD&gt;0 : 3 (-10,-5,-5)&lt;/TD&gt;&lt;/TR&gt;</v>
      </c>
    </row>
    <row r="35" spans="1:42" ht="16.5" customHeight="1">
      <c r="A35" s="26">
        <v>52</v>
      </c>
      <c r="B35" s="32" t="str">
        <f>IF($A35="","",CONCATENATE(VLOOKUP($A35,seznam!$A$2:$B$268,2)," (",VLOOKUP($A35,seznam!$A$2:$E$269,4),")"))</f>
        <v>Oharek David (Zlín)</v>
      </c>
      <c r="C35" s="36" t="str">
        <f>IF(Y37+Z37=0,"",CONCATENATE(Y37,":",Z37))</f>
        <v>0:3</v>
      </c>
      <c r="D35" s="27" t="str">
        <f>IF(Y33+Z33=0,"",CONCATENATE(Z33,":",Y33))</f>
        <v>0:3</v>
      </c>
      <c r="E35" s="27" t="s">
        <v>30</v>
      </c>
      <c r="F35" s="28" t="str">
        <f>IF(Y34+Z34=0,"",CONCATENATE(Z34,":",Y34))</f>
        <v>3:0</v>
      </c>
      <c r="G35" s="34">
        <f>IF(AF33+AF34+AE37=0,"",AF33+AF34+AE37)</f>
        <v>4</v>
      </c>
      <c r="H35" s="28">
        <v>3</v>
      </c>
      <c r="J35" s="23" t="str">
        <f t="shared" si="39"/>
        <v>Ševec Jakub - Shusterman Yonatan</v>
      </c>
      <c r="K35" s="23" t="str">
        <f t="shared" si="40"/>
        <v>3 : 1 (6,5,-9,7)</v>
      </c>
      <c r="M35" s="23" t="str">
        <f>CONCATENATE("2.st. ",úvod!$C$8," - ",M31)</f>
        <v>2.st. YOUNGER CADET BOYS - Skupina E</v>
      </c>
      <c r="N35" s="23">
        <f>A33</f>
        <v>34</v>
      </c>
      <c r="O35" s="23" t="str">
        <f>IF($N35=0,"bye",VLOOKUP($N35,seznam!$A$2:$C$268,2))</f>
        <v>Ševec Jakub</v>
      </c>
      <c r="P35" s="23" t="str">
        <f>IF($N35=0,"",VLOOKUP($N35,seznam!$A$2:$D$268,4))</f>
        <v>Nitra </v>
      </c>
      <c r="Q35" s="23">
        <f>A34</f>
        <v>15</v>
      </c>
      <c r="R35" s="23" t="str">
        <f>IF($Q35=0,"bye",VLOOKUP($Q35,seznam!$A$2:$C$268,2))</f>
        <v>Shusterman Yonatan</v>
      </c>
      <c r="S35" s="23" t="str">
        <f>IF($Q35=0,"",VLOOKUP($Q35,seznam!$A$2:$D$268,4))</f>
        <v>Israel </v>
      </c>
      <c r="T35" s="58" t="s">
        <v>210</v>
      </c>
      <c r="U35" s="59" t="s">
        <v>211</v>
      </c>
      <c r="V35" s="59" t="s">
        <v>207</v>
      </c>
      <c r="W35" s="59" t="s">
        <v>209</v>
      </c>
      <c r="X35" s="60"/>
      <c r="Y35" s="23">
        <f t="shared" si="41"/>
        <v>3</v>
      </c>
      <c r="Z35" s="23">
        <f>COUNTIF(AH35:AL35,"&lt;0")</f>
        <v>1</v>
      </c>
      <c r="AA35" s="23">
        <f t="shared" si="42"/>
        <v>34</v>
      </c>
      <c r="AB35" s="23" t="str">
        <f>IF($AA35=0,"",VLOOKUP($AA35,seznam!$A$2:$C$268,2))</f>
        <v>Ševec Jakub</v>
      </c>
      <c r="AC35" s="23" t="str">
        <f t="shared" si="43"/>
        <v>3:1 (6,5,-9,7)</v>
      </c>
      <c r="AD35" s="23" t="str">
        <f t="shared" si="44"/>
        <v>3:1 (6,5,-9,7)</v>
      </c>
      <c r="AE35" s="23">
        <f t="shared" si="45"/>
        <v>2</v>
      </c>
      <c r="AF35" s="23">
        <f t="shared" si="46"/>
        <v>1</v>
      </c>
      <c r="AH35" s="23">
        <f t="shared" si="47"/>
        <v>1</v>
      </c>
      <c r="AI35" s="23">
        <f t="shared" si="47"/>
        <v>1</v>
      </c>
      <c r="AJ35" s="23">
        <f t="shared" si="47"/>
        <v>-1</v>
      </c>
      <c r="AK35" s="23">
        <f t="shared" si="47"/>
        <v>1</v>
      </c>
      <c r="AL35" s="23">
        <f t="shared" si="47"/>
        <v>0</v>
      </c>
      <c r="AN35" s="23" t="str">
        <f>CONCATENATE(AP32,AP33,AP34,AP35,AP36,AP37,)</f>
        <v>&lt;TR&gt;&lt;TD width=250&gt;Ševec Jakub - Lancz Vojtěch&lt;TD&gt;3 : 0 (6,3,8)&lt;/TD&gt;&lt;/TR&gt;&lt;TR&gt;&lt;TD&gt;Shusterman Yonatan - Oharek David&lt;TD&gt;3 : 0 (7,9,4)&lt;/TD&gt;&lt;/TR&gt;&lt;TR&gt;&lt;TD&gt;Lancz Vojtěch - Oharek David&lt;TD&gt;0 : 3 (-10,-5,-5)&lt;/TD&gt;&lt;/TR&gt;&lt;TR&gt;&lt;TD&gt;Ševec Jakub - Shusterman Yonatan&lt;TD&gt;3 : 1 (6,5,-9,7)&lt;/TD&gt;&lt;/TR&gt;&lt;TR&gt;&lt;TD&gt;Shusterman Yonatan - Lancz Vojtěch&lt;TD&gt;3 : 0 (4,8,7)&lt;/TD&gt;&lt;/TR&gt;&lt;TR&gt;&lt;TD&gt;Oharek David - Ševec Jakub&lt;TD&gt;0 : 3 (-2,-5,-7)&lt;/TD&gt;&lt;/TR&gt;</v>
      </c>
      <c r="AO35" s="23" t="str">
        <f>CONCATENATE("&lt;TR&gt;&lt;TD&gt;",A35,"&lt;TD width=200&gt;",B35,"&lt;TD&gt;",C35,"&lt;TD&gt;",D35,"&lt;TD&gt;",E35,"&lt;TD&gt;",F35,"&lt;TD&gt;",G35,"&lt;TD&gt;",H35,"&lt;/TD&gt;&lt;/TR&gt;")</f>
        <v>&lt;TR&gt;&lt;TD&gt;52&lt;TD width=200&gt;Oharek David (Zlín)&lt;TD&gt;0:3&lt;TD&gt;0:3&lt;TD&gt;XXX&lt;TD&gt;3:0&lt;TD&gt;4&lt;TD&gt;3&lt;/TD&gt;&lt;/TR&gt;</v>
      </c>
      <c r="AP35" s="23" t="str">
        <f>CONCATENATE("&lt;TR&gt;&lt;TD&gt;",J35,"&lt;TD&gt;",K35,"&lt;/TD&gt;&lt;/TR&gt;")</f>
        <v>&lt;TR&gt;&lt;TD&gt;Ševec Jakub - Shusterman Yonatan&lt;TD&gt;3 : 1 (6,5,-9,7)&lt;/TD&gt;&lt;/TR&gt;</v>
      </c>
    </row>
    <row r="36" spans="1:42" ht="16.5" customHeight="1" thickBot="1">
      <c r="A36" s="29">
        <v>9</v>
      </c>
      <c r="B36" s="33" t="str">
        <f>IF($A36="","",CONCATENATE(VLOOKUP($A36,seznam!$A$2:$B$268,2)," (",VLOOKUP($A36,seznam!$A$2:$E$269,4),")"))</f>
        <v>Lancz Vojtěch (Gasto Galanta)</v>
      </c>
      <c r="C36" s="37" t="str">
        <f>IF(Y32+Z32=0,"",CONCATENATE(Z32,":",Y32))</f>
        <v>0:3</v>
      </c>
      <c r="D36" s="30" t="str">
        <f>IF(Y36+Z36=0,"",CONCATENATE(Z36,":",Y36))</f>
        <v>0:3</v>
      </c>
      <c r="E36" s="30" t="str">
        <f>IF(Y34+Z34=0,"",CONCATENATE(Y34,":",Z34))</f>
        <v>0:3</v>
      </c>
      <c r="F36" s="31" t="s">
        <v>30</v>
      </c>
      <c r="G36" s="35">
        <f>IF(AF32+AE34+AF36=0,"",AF32+AE34+AF36)</f>
        <v>3</v>
      </c>
      <c r="H36" s="31">
        <v>4</v>
      </c>
      <c r="J36" s="23" t="str">
        <f t="shared" si="39"/>
        <v>Shusterman Yonatan - Lancz Vojtěch</v>
      </c>
      <c r="K36" s="23" t="str">
        <f t="shared" si="40"/>
        <v>3 : 0 (4,8,7)</v>
      </c>
      <c r="M36" s="23" t="str">
        <f>CONCATENATE("2.st. ",úvod!$C$8," - ",M31)</f>
        <v>2.st. YOUNGER CADET BOYS - Skupina E</v>
      </c>
      <c r="N36" s="23">
        <f>A34</f>
        <v>15</v>
      </c>
      <c r="O36" s="23" t="str">
        <f>IF($N36=0,"bye",VLOOKUP($N36,seznam!$A$2:$C$268,2))</f>
        <v>Shusterman Yonatan</v>
      </c>
      <c r="P36" s="23" t="str">
        <f>IF($N36=0,"",VLOOKUP($N36,seznam!$A$2:$D$268,4))</f>
        <v>Israel </v>
      </c>
      <c r="Q36" s="23">
        <f>A36</f>
        <v>9</v>
      </c>
      <c r="R36" s="23" t="str">
        <f>IF($Q36=0,"bye",VLOOKUP($Q36,seznam!$A$2:$C$268,2))</f>
        <v>Lancz Vojtěch</v>
      </c>
      <c r="S36" s="23" t="str">
        <f>IF($Q36=0,"",VLOOKUP($Q36,seznam!$A$2:$D$268,4))</f>
        <v>Gasto Galanta</v>
      </c>
      <c r="T36" s="58" t="s">
        <v>220</v>
      </c>
      <c r="U36" s="59" t="s">
        <v>208</v>
      </c>
      <c r="V36" s="59" t="s">
        <v>209</v>
      </c>
      <c r="W36" s="59"/>
      <c r="X36" s="60"/>
      <c r="Y36" s="23">
        <f t="shared" si="41"/>
        <v>3</v>
      </c>
      <c r="Z36" s="23">
        <f>COUNTIF(AH36:AL36,"&lt;0")</f>
        <v>0</v>
      </c>
      <c r="AA36" s="23">
        <f t="shared" si="42"/>
        <v>15</v>
      </c>
      <c r="AB36" s="23" t="str">
        <f>IF($AA36=0,"",VLOOKUP($AA36,seznam!$A$2:$C$268,2))</f>
        <v>Shusterman Yonatan</v>
      </c>
      <c r="AC36" s="23" t="str">
        <f t="shared" si="43"/>
        <v>3:0 (4,8,7)</v>
      </c>
      <c r="AD36" s="23" t="str">
        <f t="shared" si="44"/>
        <v>3:0 (4,8,7)</v>
      </c>
      <c r="AE36" s="23">
        <f t="shared" si="45"/>
        <v>2</v>
      </c>
      <c r="AF36" s="23">
        <f t="shared" si="46"/>
        <v>1</v>
      </c>
      <c r="AH36" s="23">
        <f t="shared" si="47"/>
        <v>1</v>
      </c>
      <c r="AI36" s="23">
        <f t="shared" si="47"/>
        <v>1</v>
      </c>
      <c r="AJ36" s="23">
        <f t="shared" si="47"/>
        <v>1</v>
      </c>
      <c r="AK36" s="23">
        <f t="shared" si="47"/>
        <v>0</v>
      </c>
      <c r="AL36" s="23">
        <f t="shared" si="47"/>
        <v>0</v>
      </c>
      <c r="AN36" s="23" t="str">
        <f>CONCATENATE("&lt;/Table&gt;&lt;/TD&gt;&lt;/TR&gt;&lt;/Table&gt;&lt;P&gt;")</f>
        <v>&lt;/Table&gt;&lt;/TD&gt;&lt;/TR&gt;&lt;/Table&gt;&lt;P&gt;</v>
      </c>
      <c r="AO36" s="23" t="str">
        <f>CONCATENATE("&lt;TR&gt;&lt;TD&gt;",A36,"&lt;TD width=200&gt;",B36,"&lt;TD&gt;",C36,"&lt;TD&gt;",D36,"&lt;TD&gt;",E36,"&lt;TD&gt;",F36,"&lt;TD&gt;",G36,"&lt;TD&gt;",H36,"&lt;/TD&gt;&lt;/TR&gt;")</f>
        <v>&lt;TR&gt;&lt;TD&gt;9&lt;TD width=200&gt;Lancz Vojtěch (Gasto Galanta)&lt;TD&gt;0:3&lt;TD&gt;0:3&lt;TD&gt;0:3&lt;TD&gt;XXX&lt;TD&gt;3&lt;TD&gt;4&lt;/TD&gt;&lt;/TR&gt;</v>
      </c>
      <c r="AP36" s="23" t="str">
        <f>CONCATENATE("&lt;TR&gt;&lt;TD&gt;",J36,"&lt;TD&gt;",K36,"&lt;/TD&gt;&lt;/TR&gt;")</f>
        <v>&lt;TR&gt;&lt;TD&gt;Shusterman Yonatan - Lancz Vojtěch&lt;TD&gt;3 : 0 (4,8,7)&lt;/TD&gt;&lt;/TR&gt;</v>
      </c>
    </row>
    <row r="37" spans="10:42" ht="16.5" customHeight="1" thickBot="1" thickTop="1">
      <c r="J37" s="23" t="str">
        <f t="shared" si="39"/>
        <v>Oharek David - Ševec Jakub</v>
      </c>
      <c r="K37" s="23" t="str">
        <f t="shared" si="40"/>
        <v>0 : 3 (-2,-5,-7)</v>
      </c>
      <c r="M37" s="23" t="str">
        <f>CONCATENATE("2.st. ",úvod!$C$8," - ",M31)</f>
        <v>2.st. YOUNGER CADET BOYS - Skupina E</v>
      </c>
      <c r="N37" s="23">
        <f>A35</f>
        <v>52</v>
      </c>
      <c r="O37" s="23" t="str">
        <f>IF($N37=0,"bye",VLOOKUP($N37,seznam!$A$2:$C$268,2))</f>
        <v>Oharek David</v>
      </c>
      <c r="P37" s="23" t="str">
        <f>IF($N37=0,"",VLOOKUP($N37,seznam!$A$2:$D$268,4))</f>
        <v>Zlín</v>
      </c>
      <c r="Q37" s="23">
        <f>A33</f>
        <v>34</v>
      </c>
      <c r="R37" s="23" t="str">
        <f>IF($Q37=0,"bye",VLOOKUP($Q37,seznam!$A$2:$C$268,2))</f>
        <v>Ševec Jakub</v>
      </c>
      <c r="S37" s="23" t="str">
        <f>IF($Q37=0,"",VLOOKUP($Q37,seznam!$A$2:$D$268,4))</f>
        <v>Nitra </v>
      </c>
      <c r="T37" s="61" t="s">
        <v>229</v>
      </c>
      <c r="U37" s="62" t="s">
        <v>224</v>
      </c>
      <c r="V37" s="62" t="s">
        <v>218</v>
      </c>
      <c r="W37" s="62"/>
      <c r="X37" s="63"/>
      <c r="Y37" s="23">
        <f t="shared" si="41"/>
        <v>0</v>
      </c>
      <c r="Z37" s="23">
        <v>3</v>
      </c>
      <c r="AA37" s="23">
        <f t="shared" si="42"/>
        <v>34</v>
      </c>
      <c r="AB37" s="23" t="str">
        <f>IF($AA37=0,"",VLOOKUP($AA37,seznam!$A$2:$C$268,2))</f>
        <v>Ševec Jakub</v>
      </c>
      <c r="AC37" s="23" t="str">
        <f t="shared" si="43"/>
        <v>3:0 (2,5,7)</v>
      </c>
      <c r="AD37" s="23" t="str">
        <f t="shared" si="44"/>
        <v>3:0 (2,5,7)</v>
      </c>
      <c r="AE37" s="23">
        <f t="shared" si="45"/>
        <v>1</v>
      </c>
      <c r="AF37" s="23">
        <f t="shared" si="46"/>
        <v>2</v>
      </c>
      <c r="AH37" s="23">
        <f t="shared" si="47"/>
        <v>-1</v>
      </c>
      <c r="AI37" s="23">
        <f t="shared" si="47"/>
        <v>-1</v>
      </c>
      <c r="AJ37" s="23">
        <f t="shared" si="47"/>
        <v>-1</v>
      </c>
      <c r="AK37" s="23">
        <f t="shared" si="47"/>
        <v>0</v>
      </c>
      <c r="AL37" s="23">
        <f t="shared" si="47"/>
        <v>0</v>
      </c>
      <c r="AP37" s="23" t="str">
        <f>CONCATENATE("&lt;TR&gt;&lt;TD&gt;",J37,"&lt;TD&gt;",K37,"&lt;/TD&gt;&lt;/TR&gt;")</f>
        <v>&lt;TR&gt;&lt;TD&gt;Oharek David - Ševec Jakub&lt;TD&gt;0 : 3 (-2,-5,-7)&lt;/TD&gt;&lt;/TR&gt;</v>
      </c>
    </row>
    <row r="38" spans="13:40" ht="16.5" customHeight="1" thickBot="1" thickTop="1">
      <c r="M38" s="24" t="str">
        <f>B39</f>
        <v>Skupina F</v>
      </c>
      <c r="N38" s="24" t="s">
        <v>0</v>
      </c>
      <c r="O38" s="24" t="s">
        <v>1</v>
      </c>
      <c r="P38" s="24" t="s">
        <v>2</v>
      </c>
      <c r="Q38" s="24" t="s">
        <v>0</v>
      </c>
      <c r="R38" s="24" t="s">
        <v>3</v>
      </c>
      <c r="S38" s="24" t="s">
        <v>2</v>
      </c>
      <c r="T38" s="25" t="s">
        <v>4</v>
      </c>
      <c r="U38" s="25" t="s">
        <v>5</v>
      </c>
      <c r="V38" s="25" t="s">
        <v>6</v>
      </c>
      <c r="W38" s="25" t="s">
        <v>7</v>
      </c>
      <c r="X38" s="25" t="s">
        <v>8</v>
      </c>
      <c r="Y38" s="24" t="s">
        <v>9</v>
      </c>
      <c r="Z38" s="24" t="s">
        <v>10</v>
      </c>
      <c r="AA38" s="24" t="s">
        <v>11</v>
      </c>
      <c r="AN38" s="23" t="s">
        <v>16</v>
      </c>
    </row>
    <row r="39" spans="1:42" ht="16.5" customHeight="1" thickBot="1" thickTop="1">
      <c r="A39" s="44"/>
      <c r="B39" s="45" t="s">
        <v>23</v>
      </c>
      <c r="C39" s="46">
        <v>1</v>
      </c>
      <c r="D39" s="47">
        <v>2</v>
      </c>
      <c r="E39" s="47">
        <v>3</v>
      </c>
      <c r="F39" s="48">
        <v>4</v>
      </c>
      <c r="G39" s="49" t="s">
        <v>14</v>
      </c>
      <c r="H39" s="48" t="s">
        <v>15</v>
      </c>
      <c r="J39" s="23" t="str">
        <f aca="true" t="shared" si="48" ref="J39:J44">CONCATENATE(O39," - ",R39)</f>
        <v>Wiltschka David - Petřík Filip</v>
      </c>
      <c r="K39" s="23" t="str">
        <f aca="true" t="shared" si="49" ref="K39:K44">IF(SUM(Y39:Z39)=0,AD39,CONCATENATE(Y39," : ",Z39," (",T39,",",U39,",",V39,IF(Y39+Z39&gt;3,",",""),W39,IF(Y39+Z39&gt;4,",",""),X39,")"))</f>
        <v>3 : 0 (6,5,4)</v>
      </c>
      <c r="M39" s="23" t="str">
        <f>CONCATENATE("2.st. ",úvod!$C$8," - ",M38)</f>
        <v>2.st. YOUNGER CADET BOYS - Skupina F</v>
      </c>
      <c r="N39" s="23">
        <f>A40</f>
        <v>10</v>
      </c>
      <c r="O39" s="23" t="str">
        <f>IF($N39=0,"bye",VLOOKUP($N39,seznam!$A$2:$C$268,2))</f>
        <v>Wiltschka David</v>
      </c>
      <c r="P39" s="23" t="str">
        <f>IF($N39=0,"",VLOOKUP($N39,seznam!$A$2:$D$268,4))</f>
        <v>Gasto Galanta</v>
      </c>
      <c r="Q39" s="23">
        <f>A43</f>
        <v>43</v>
      </c>
      <c r="R39" s="23" t="str">
        <f>IF($Q39=0,"bye",VLOOKUP($Q39,seznam!$A$2:$C$268,2))</f>
        <v>Petřík Filip</v>
      </c>
      <c r="S39" s="23" t="str">
        <f>IF($Q39=0,"",VLOOKUP($Q39,seznam!$A$2:$D$268,4))</f>
        <v>Trebišov</v>
      </c>
      <c r="T39" s="55" t="s">
        <v>210</v>
      </c>
      <c r="U39" s="56" t="s">
        <v>211</v>
      </c>
      <c r="V39" s="56" t="s">
        <v>220</v>
      </c>
      <c r="W39" s="56"/>
      <c r="X39" s="57"/>
      <c r="Y39" s="23">
        <f aca="true" t="shared" si="50" ref="Y39:Y44">COUNTIF(AH39:AL39,"&gt;0")</f>
        <v>3</v>
      </c>
      <c r="Z39" s="23">
        <f>COUNTIF(AH39:AL39,"&lt;0")</f>
        <v>0</v>
      </c>
      <c r="AA39" s="23">
        <f aca="true" t="shared" si="51" ref="AA39:AA44">IF(Y39=Z39,0,IF(Y39&gt;Z39,N39,Q39))</f>
        <v>10</v>
      </c>
      <c r="AB39" s="23" t="str">
        <f>IF($AA39=0,"",VLOOKUP($AA39,seznam!$A$2:$C$268,2))</f>
        <v>Wiltschka David</v>
      </c>
      <c r="AC39" s="23" t="str">
        <f aca="true" t="shared" si="52" ref="AC39:AC44">IF(Y39=Z39,"",IF(Y39&gt;Z39,CONCATENATE(Y39,":",Z39," (",T39,",",U39,",",V39,IF(SUM(Y39:Z39)&gt;3,",",""),W39,IF(SUM(Y39:Z39)&gt;4,",",""),X39,")"),CONCATENATE(Z39,":",Y39," (",-T39,",",-U39,",",-V39,IF(SUM(Y39:Z39)&gt;3,CONCATENATE(",",-W39),""),IF(SUM(Y39:Z39)&gt;4,CONCATENATE(",",-X39),""),")")))</f>
        <v>3:0 (6,5,4)</v>
      </c>
      <c r="AD39" s="23" t="str">
        <f aca="true" t="shared" si="53" ref="AD39:AD44">IF(SUM(Y39:Z39)=0,"",AC39)</f>
        <v>3:0 (6,5,4)</v>
      </c>
      <c r="AE39" s="23">
        <f aca="true" t="shared" si="54" ref="AE39:AE44">IF(T39="",0,IF(Y39&gt;Z39,2,1))</f>
        <v>2</v>
      </c>
      <c r="AF39" s="23">
        <f aca="true" t="shared" si="55" ref="AF39:AF44">IF(T39="",0,IF(Z39&gt;Y39,2,1))</f>
        <v>1</v>
      </c>
      <c r="AH39" s="23">
        <f aca="true" t="shared" si="56" ref="AH39:AL44">IF(T39="",0,IF(MID(T39,1,1)="-",-1,1))</f>
        <v>1</v>
      </c>
      <c r="AI39" s="23">
        <f t="shared" si="56"/>
        <v>1</v>
      </c>
      <c r="AJ39" s="23">
        <f t="shared" si="56"/>
        <v>1</v>
      </c>
      <c r="AK39" s="23">
        <f t="shared" si="56"/>
        <v>0</v>
      </c>
      <c r="AL39" s="23">
        <f t="shared" si="56"/>
        <v>0</v>
      </c>
      <c r="AN39" s="23" t="str">
        <f>CONCATENATE("&lt;Table border=1 cellpading=0 cellspacing=0 width=480&gt;&lt;TR&gt;&lt;TH colspan=2&gt;",B39,"&lt;TH&gt;1&lt;TH&gt;2&lt;TH&gt;3&lt;TH&gt;4&lt;TH&gt;Body&lt;TH&gt;Pořadí&lt;/TH&gt;&lt;/TR&gt;")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P39" s="23" t="str">
        <f>CONCATENATE("&lt;TR&gt;&lt;TD width=250&gt;",J39,"&lt;TD&gt;",K39,"&lt;/TD&gt;&lt;/TR&gt;")</f>
        <v>&lt;TR&gt;&lt;TD width=250&gt;Wiltschka David - Petřík Filip&lt;TD&gt;3 : 0 (6,5,4)&lt;/TD&gt;&lt;/TR&gt;</v>
      </c>
    </row>
    <row r="40" spans="1:42" ht="16.5" customHeight="1" thickTop="1">
      <c r="A40" s="38">
        <v>10</v>
      </c>
      <c r="B40" s="39" t="str">
        <f>IF($A40="","",CONCATENATE(VLOOKUP($A40,seznam!$A$2:$B$268,2)," (",VLOOKUP($A40,seznam!$A$2:$E$269,4),")"))</f>
        <v>Wiltschka David (Gasto Galanta)</v>
      </c>
      <c r="C40" s="40" t="s">
        <v>30</v>
      </c>
      <c r="D40" s="41" t="str">
        <f>IF(Y42+Z42=0,"",CONCATENATE(Y42,":",Z42))</f>
        <v>1:3</v>
      </c>
      <c r="E40" s="41" t="str">
        <f>IF(Y44+Z44=0,"",CONCATENATE(Z44,":",Y44))</f>
        <v>3:0</v>
      </c>
      <c r="F40" s="42" t="str">
        <f>IF(Y39+Z39=0,"",CONCATENATE(Y39,":",Z39))</f>
        <v>3:0</v>
      </c>
      <c r="G40" s="43">
        <f>IF(AE39+AE42+AF44=0,"",AE39+AE42+AF44)</f>
        <v>5</v>
      </c>
      <c r="H40" s="42">
        <v>2</v>
      </c>
      <c r="J40" s="23" t="str">
        <f t="shared" si="48"/>
        <v>Erez Shmueli - Červinka Lukáš</v>
      </c>
      <c r="K40" s="23" t="str">
        <f t="shared" si="49"/>
        <v>3 : 0 (2,8,5)</v>
      </c>
      <c r="M40" s="23" t="str">
        <f>CONCATENATE("2.st. ",úvod!$C$8," - ",M38)</f>
        <v>2.st. YOUNGER CADET BOYS - Skupina F</v>
      </c>
      <c r="N40" s="23">
        <f>A41</f>
        <v>16</v>
      </c>
      <c r="O40" s="23" t="str">
        <f>IF($N40=0,"bye",VLOOKUP($N40,seznam!$A$2:$C$268,2))</f>
        <v>Erez Shmueli</v>
      </c>
      <c r="P40" s="23" t="str">
        <f>IF($N40=0,"",VLOOKUP($N40,seznam!$A$2:$D$268,4))</f>
        <v>Israel </v>
      </c>
      <c r="Q40" s="23">
        <f>A42</f>
        <v>27</v>
      </c>
      <c r="R40" s="23" t="str">
        <f>IF($Q40=0,"bye",VLOOKUP($Q40,seznam!$A$2:$C$268,2))</f>
        <v>Červinka Lukáš</v>
      </c>
      <c r="S40" s="23" t="str">
        <f>IF($Q40=0,"",VLOOKUP($Q40,seznam!$A$2:$D$268,4))</f>
        <v>KST Kroměříž</v>
      </c>
      <c r="T40" s="58" t="s">
        <v>206</v>
      </c>
      <c r="U40" s="59" t="s">
        <v>208</v>
      </c>
      <c r="V40" s="59" t="s">
        <v>211</v>
      </c>
      <c r="W40" s="59"/>
      <c r="X40" s="60"/>
      <c r="Y40" s="23">
        <f t="shared" si="50"/>
        <v>3</v>
      </c>
      <c r="Z40" s="23">
        <f>COUNTIF(AH40:AL40,"&lt;0")</f>
        <v>0</v>
      </c>
      <c r="AA40" s="23">
        <f t="shared" si="51"/>
        <v>16</v>
      </c>
      <c r="AB40" s="23" t="str">
        <f>IF($AA40=0,"",VLOOKUP($AA40,seznam!$A$2:$C$268,2))</f>
        <v>Erez Shmueli</v>
      </c>
      <c r="AC40" s="23" t="str">
        <f t="shared" si="52"/>
        <v>3:0 (2,8,5)</v>
      </c>
      <c r="AD40" s="23" t="str">
        <f t="shared" si="53"/>
        <v>3:0 (2,8,5)</v>
      </c>
      <c r="AE40" s="23">
        <f t="shared" si="54"/>
        <v>2</v>
      </c>
      <c r="AF40" s="23">
        <f t="shared" si="55"/>
        <v>1</v>
      </c>
      <c r="AH40" s="23">
        <f t="shared" si="56"/>
        <v>1</v>
      </c>
      <c r="AI40" s="23">
        <f t="shared" si="56"/>
        <v>1</v>
      </c>
      <c r="AJ40" s="23">
        <f t="shared" si="56"/>
        <v>1</v>
      </c>
      <c r="AK40" s="23">
        <f t="shared" si="56"/>
        <v>0</v>
      </c>
      <c r="AL40" s="23">
        <f t="shared" si="56"/>
        <v>0</v>
      </c>
      <c r="AN40" s="23" t="str">
        <f>CONCATENATE(AO40,AO41,AO42,AO43,)</f>
        <v>&lt;TR&gt;&lt;TD&gt;10&lt;TD width=200&gt;Wiltschka David (Gasto Galanta)&lt;TD&gt;XXX&lt;TD&gt;1:3&lt;TD&gt;3:0&lt;TD&gt;3:0&lt;TD&gt;5&lt;TD&gt;2&lt;/TD&gt;&lt;/TR&gt;&lt;TR&gt;&lt;TD&gt;16&lt;TD width=200&gt;Erez Shmueli (Israel )&lt;TD&gt;3:1&lt;TD&gt;XXX&lt;TD&gt;3:0&lt;TD&gt;3:0&lt;TD&gt;6&lt;TD&gt;1&lt;/TD&gt;&lt;/TR&gt;&lt;TR&gt;&lt;TD&gt;27&lt;TD width=200&gt;Červinka Lukáš (KST Kroměříž)&lt;TD&gt;0:3&lt;TD&gt;0:3&lt;TD&gt;XXX&lt;TD&gt;0:3&lt;TD&gt;3&lt;TD&gt;4&lt;/TD&gt;&lt;/TR&gt;&lt;TR&gt;&lt;TD&gt;43&lt;TD width=200&gt;Petřík Filip (Trebišov)&lt;TD&gt;0:3&lt;TD&gt;0:3&lt;TD&gt;3:0&lt;TD&gt;XXX&lt;TD&gt;4&lt;TD&gt;3&lt;/TD&gt;&lt;/TR&gt;</v>
      </c>
      <c r="AO40" s="23" t="str">
        <f>CONCATENATE("&lt;TR&gt;&lt;TD&gt;",A40,"&lt;TD width=200&gt;",B40,"&lt;TD&gt;",C40,"&lt;TD&gt;",D40,"&lt;TD&gt;",E40,"&lt;TD&gt;",F40,"&lt;TD&gt;",G40,"&lt;TD&gt;",H40,"&lt;/TD&gt;&lt;/TR&gt;")</f>
        <v>&lt;TR&gt;&lt;TD&gt;10&lt;TD width=200&gt;Wiltschka David (Gasto Galanta)&lt;TD&gt;XXX&lt;TD&gt;1:3&lt;TD&gt;3:0&lt;TD&gt;3:0&lt;TD&gt;5&lt;TD&gt;2&lt;/TD&gt;&lt;/TR&gt;</v>
      </c>
      <c r="AP40" s="23" t="str">
        <f>CONCATENATE("&lt;TR&gt;&lt;TD&gt;",J40,"&lt;TD&gt;",K40,"&lt;/TD&gt;&lt;/TR&gt;")</f>
        <v>&lt;TR&gt;&lt;TD&gt;Erez Shmueli - Červinka Lukáš&lt;TD&gt;3 : 0 (2,8,5)&lt;/TD&gt;&lt;/TR&gt;</v>
      </c>
    </row>
    <row r="41" spans="1:42" ht="16.5" customHeight="1">
      <c r="A41" s="26">
        <v>16</v>
      </c>
      <c r="B41" s="32" t="str">
        <f>IF($A41="","",CONCATENATE(VLOOKUP($A41,seznam!$A$2:$B$268,2)," (",VLOOKUP($A41,seznam!$A$2:$E$269,4),")"))</f>
        <v>Erez Shmueli (Israel )</v>
      </c>
      <c r="C41" s="36" t="str">
        <f>IF(Y42+Z42=0,"",CONCATENATE(Z42,":",Y42))</f>
        <v>3:1</v>
      </c>
      <c r="D41" s="27" t="s">
        <v>30</v>
      </c>
      <c r="E41" s="27" t="str">
        <f>IF(Y40+Z40=0,"",CONCATENATE(Y40,":",Z40))</f>
        <v>3:0</v>
      </c>
      <c r="F41" s="28" t="str">
        <f>IF(Y43+Z43=0,"",CONCATENATE(Y43,":",Z43))</f>
        <v>3:0</v>
      </c>
      <c r="G41" s="34">
        <f>IF(AE40+AF42+AE43=0,"",AE40+AF42+AE43)</f>
        <v>6</v>
      </c>
      <c r="H41" s="28">
        <v>1</v>
      </c>
      <c r="J41" s="23" t="str">
        <f t="shared" si="48"/>
        <v>Petřík Filip - Červinka Lukáš</v>
      </c>
      <c r="K41" s="23" t="str">
        <f t="shared" si="49"/>
        <v>3 : 0 (7,4,6)</v>
      </c>
      <c r="M41" s="23" t="str">
        <f>CONCATENATE("2.st. ",úvod!$C$8," - ",M38)</f>
        <v>2.st. YOUNGER CADET BOYS - Skupina F</v>
      </c>
      <c r="N41" s="23">
        <f>A43</f>
        <v>43</v>
      </c>
      <c r="O41" s="23" t="str">
        <f>IF($N41=0,"bye",VLOOKUP($N41,seznam!$A$2:$C$268,2))</f>
        <v>Petřík Filip</v>
      </c>
      <c r="P41" s="23" t="str">
        <f>IF($N41=0,"",VLOOKUP($N41,seznam!$A$2:$D$268,4))</f>
        <v>Trebišov</v>
      </c>
      <c r="Q41" s="23">
        <f>A42</f>
        <v>27</v>
      </c>
      <c r="R41" s="23" t="str">
        <f>IF($Q41=0,"bye",VLOOKUP($Q41,seznam!$A$2:$C$268,2))</f>
        <v>Červinka Lukáš</v>
      </c>
      <c r="S41" s="23" t="str">
        <f>IF($Q41=0,"",VLOOKUP($Q41,seznam!$A$2:$D$268,4))</f>
        <v>KST Kroměříž</v>
      </c>
      <c r="T41" s="58" t="s">
        <v>209</v>
      </c>
      <c r="U41" s="59" t="s">
        <v>220</v>
      </c>
      <c r="V41" s="59" t="s">
        <v>210</v>
      </c>
      <c r="W41" s="59"/>
      <c r="X41" s="60"/>
      <c r="Y41" s="23">
        <f t="shared" si="50"/>
        <v>3</v>
      </c>
      <c r="Z41" s="23">
        <f>COUNTIF(AH41:AL41,"&lt;0")</f>
        <v>0</v>
      </c>
      <c r="AA41" s="23">
        <f t="shared" si="51"/>
        <v>43</v>
      </c>
      <c r="AB41" s="23" t="str">
        <f>IF($AA41=0,"",VLOOKUP($AA41,seznam!$A$2:$C$268,2))</f>
        <v>Petřík Filip</v>
      </c>
      <c r="AC41" s="23" t="str">
        <f t="shared" si="52"/>
        <v>3:0 (7,4,6)</v>
      </c>
      <c r="AD41" s="23" t="str">
        <f t="shared" si="53"/>
        <v>3:0 (7,4,6)</v>
      </c>
      <c r="AE41" s="23">
        <f t="shared" si="54"/>
        <v>2</v>
      </c>
      <c r="AF41" s="23">
        <f t="shared" si="55"/>
        <v>1</v>
      </c>
      <c r="AH41" s="23">
        <f t="shared" si="56"/>
        <v>1</v>
      </c>
      <c r="AI41" s="23">
        <f t="shared" si="56"/>
        <v>1</v>
      </c>
      <c r="AJ41" s="23">
        <f t="shared" si="56"/>
        <v>1</v>
      </c>
      <c r="AK41" s="23">
        <f t="shared" si="56"/>
        <v>0</v>
      </c>
      <c r="AL41" s="23">
        <f t="shared" si="56"/>
        <v>0</v>
      </c>
      <c r="AN41" s="23" t="str">
        <f>CONCATENATE("&lt;/Table&gt;&lt;TD width=420&gt;&lt;Table&gt;")</f>
        <v>&lt;/Table&gt;&lt;TD width=420&gt;&lt;Table&gt;</v>
      </c>
      <c r="AO41" s="23" t="str">
        <f>CONCATENATE("&lt;TR&gt;&lt;TD&gt;",A41,"&lt;TD width=200&gt;",B41,"&lt;TD&gt;",C41,"&lt;TD&gt;",D41,"&lt;TD&gt;",E41,"&lt;TD&gt;",F41,"&lt;TD&gt;",G41,"&lt;TD&gt;",H41,"&lt;/TD&gt;&lt;/TR&gt;")</f>
        <v>&lt;TR&gt;&lt;TD&gt;16&lt;TD width=200&gt;Erez Shmueli (Israel )&lt;TD&gt;3:1&lt;TD&gt;XXX&lt;TD&gt;3:0&lt;TD&gt;3:0&lt;TD&gt;6&lt;TD&gt;1&lt;/TD&gt;&lt;/TR&gt;</v>
      </c>
      <c r="AP41" s="23" t="str">
        <f>CONCATENATE("&lt;TR&gt;&lt;TD&gt;",J41,"&lt;TD&gt;",K41,"&lt;/TD&gt;&lt;/TR&gt;")</f>
        <v>&lt;TR&gt;&lt;TD&gt;Petřík Filip - Červinka Lukáš&lt;TD&gt;3 : 0 (7,4,6)&lt;/TD&gt;&lt;/TR&gt;</v>
      </c>
    </row>
    <row r="42" spans="1:42" ht="16.5" customHeight="1">
      <c r="A42" s="26">
        <v>27</v>
      </c>
      <c r="B42" s="32" t="str">
        <f>IF($A42="","",CONCATENATE(VLOOKUP($A42,seznam!$A$2:$B$268,2)," (",VLOOKUP($A42,seznam!$A$2:$E$269,4),")"))</f>
        <v>Červinka Lukáš (KST Kroměříž)</v>
      </c>
      <c r="C42" s="36" t="str">
        <f>IF(Y44+Z44=0,"",CONCATENATE(Y44,":",Z44))</f>
        <v>0:3</v>
      </c>
      <c r="D42" s="27" t="str">
        <f>IF(Y40+Z40=0,"",CONCATENATE(Z40,":",Y40))</f>
        <v>0:3</v>
      </c>
      <c r="E42" s="27" t="s">
        <v>30</v>
      </c>
      <c r="F42" s="28" t="str">
        <f>IF(Y41+Z41=0,"",CONCATENATE(Z41,":",Y41))</f>
        <v>0:3</v>
      </c>
      <c r="G42" s="34">
        <f>IF(AF40+AF41+AE44=0,"",AF40+AF41+AE44)</f>
        <v>3</v>
      </c>
      <c r="H42" s="28">
        <v>4</v>
      </c>
      <c r="J42" s="23" t="str">
        <f t="shared" si="48"/>
        <v>Wiltschka David - Erez Shmueli</v>
      </c>
      <c r="K42" s="23" t="str">
        <f t="shared" si="49"/>
        <v>1 : 3 (-8,7,-17,-9)</v>
      </c>
      <c r="M42" s="23" t="str">
        <f>CONCATENATE("2.st. ",úvod!$C$8," - ",M38)</f>
        <v>2.st. YOUNGER CADET BOYS - Skupina F</v>
      </c>
      <c r="N42" s="23">
        <f>A40</f>
        <v>10</v>
      </c>
      <c r="O42" s="23" t="str">
        <f>IF($N42=0,"bye",VLOOKUP($N42,seznam!$A$2:$C$268,2))</f>
        <v>Wiltschka David</v>
      </c>
      <c r="P42" s="23" t="str">
        <f>IF($N42=0,"",VLOOKUP($N42,seznam!$A$2:$D$268,4))</f>
        <v>Gasto Galanta</v>
      </c>
      <c r="Q42" s="23">
        <f>A41</f>
        <v>16</v>
      </c>
      <c r="R42" s="23" t="str">
        <f>IF($Q42=0,"bye",VLOOKUP($Q42,seznam!$A$2:$C$268,2))</f>
        <v>Erez Shmueli</v>
      </c>
      <c r="S42" s="23" t="str">
        <f>IF($Q42=0,"",VLOOKUP($Q42,seznam!$A$2:$D$268,4))</f>
        <v>Israel </v>
      </c>
      <c r="T42" s="58" t="s">
        <v>215</v>
      </c>
      <c r="U42" s="59" t="s">
        <v>209</v>
      </c>
      <c r="V42" s="59" t="s">
        <v>227</v>
      </c>
      <c r="W42" s="59" t="s">
        <v>207</v>
      </c>
      <c r="X42" s="60"/>
      <c r="Y42" s="23">
        <f t="shared" si="50"/>
        <v>1</v>
      </c>
      <c r="Z42" s="23">
        <f>COUNTIF(AH42:AL42,"&lt;0")</f>
        <v>3</v>
      </c>
      <c r="AA42" s="23">
        <f t="shared" si="51"/>
        <v>16</v>
      </c>
      <c r="AB42" s="23" t="str">
        <f>IF($AA42=0,"",VLOOKUP($AA42,seznam!$A$2:$C$268,2))</f>
        <v>Erez Shmueli</v>
      </c>
      <c r="AC42" s="23" t="str">
        <f t="shared" si="52"/>
        <v>3:1 (8,-7,17,9)</v>
      </c>
      <c r="AD42" s="23" t="str">
        <f t="shared" si="53"/>
        <v>3:1 (8,-7,17,9)</v>
      </c>
      <c r="AE42" s="23">
        <f t="shared" si="54"/>
        <v>1</v>
      </c>
      <c r="AF42" s="23">
        <f t="shared" si="55"/>
        <v>2</v>
      </c>
      <c r="AH42" s="23">
        <f t="shared" si="56"/>
        <v>-1</v>
      </c>
      <c r="AI42" s="23">
        <f t="shared" si="56"/>
        <v>1</v>
      </c>
      <c r="AJ42" s="23">
        <f t="shared" si="56"/>
        <v>-1</v>
      </c>
      <c r="AK42" s="23">
        <f t="shared" si="56"/>
        <v>-1</v>
      </c>
      <c r="AL42" s="23">
        <f t="shared" si="56"/>
        <v>0</v>
      </c>
      <c r="AN42" s="23" t="str">
        <f>CONCATENATE(AP39,AP40,AP41,AP42,AP43,AP44,)</f>
        <v>&lt;TR&gt;&lt;TD width=250&gt;Wiltschka David - Petřík Filip&lt;TD&gt;3 : 0 (6,5,4)&lt;/TD&gt;&lt;/TR&gt;&lt;TR&gt;&lt;TD&gt;Erez Shmueli - Červinka Lukáš&lt;TD&gt;3 : 0 (2,8,5)&lt;/TD&gt;&lt;/TR&gt;&lt;TR&gt;&lt;TD&gt;Petřík Filip - Červinka Lukáš&lt;TD&gt;3 : 0 (7,4,6)&lt;/TD&gt;&lt;/TR&gt;&lt;TR&gt;&lt;TD&gt;Wiltschka David - Erez Shmueli&lt;TD&gt;1 : 3 (-8,7,-17,-9)&lt;/TD&gt;&lt;/TR&gt;&lt;TR&gt;&lt;TD&gt;Erez Shmueli - Petřík Filip&lt;TD&gt;3 : 0 (7,6,6)&lt;/TD&gt;&lt;/TR&gt;&lt;TR&gt;&lt;TD&gt;Červinka Lukáš - Wiltschka David&lt;TD&gt;0 : 3 (-6,-8,-9)&lt;/TD&gt;&lt;/TR&gt;</v>
      </c>
      <c r="AO42" s="23" t="str">
        <f>CONCATENATE("&lt;TR&gt;&lt;TD&gt;",A42,"&lt;TD width=200&gt;",B42,"&lt;TD&gt;",C42,"&lt;TD&gt;",D42,"&lt;TD&gt;",E42,"&lt;TD&gt;",F42,"&lt;TD&gt;",G42,"&lt;TD&gt;",H42,"&lt;/TD&gt;&lt;/TR&gt;")</f>
        <v>&lt;TR&gt;&lt;TD&gt;27&lt;TD width=200&gt;Červinka Lukáš (KST Kroměříž)&lt;TD&gt;0:3&lt;TD&gt;0:3&lt;TD&gt;XXX&lt;TD&gt;0:3&lt;TD&gt;3&lt;TD&gt;4&lt;/TD&gt;&lt;/TR&gt;</v>
      </c>
      <c r="AP42" s="23" t="str">
        <f>CONCATENATE("&lt;TR&gt;&lt;TD&gt;",J42,"&lt;TD&gt;",K42,"&lt;/TD&gt;&lt;/TR&gt;")</f>
        <v>&lt;TR&gt;&lt;TD&gt;Wiltschka David - Erez Shmueli&lt;TD&gt;1 : 3 (-8,7,-17,-9)&lt;/TD&gt;&lt;/TR&gt;</v>
      </c>
    </row>
    <row r="43" spans="1:42" ht="16.5" customHeight="1" thickBot="1">
      <c r="A43" s="29">
        <v>43</v>
      </c>
      <c r="B43" s="33" t="str">
        <f>IF($A43="","",CONCATENATE(VLOOKUP($A43,seznam!$A$2:$B$268,2)," (",VLOOKUP($A43,seznam!$A$2:$E$269,4),")"))</f>
        <v>Petřík Filip (Trebišov)</v>
      </c>
      <c r="C43" s="37" t="str">
        <f>IF(Y39+Z39=0,"",CONCATENATE(Z39,":",Y39))</f>
        <v>0:3</v>
      </c>
      <c r="D43" s="30" t="str">
        <f>IF(Y43+Z43=0,"",CONCATENATE(Z43,":",Y43))</f>
        <v>0:3</v>
      </c>
      <c r="E43" s="30" t="str">
        <f>IF(Y41+Z41=0,"",CONCATENATE(Y41,":",Z41))</f>
        <v>3:0</v>
      </c>
      <c r="F43" s="31" t="s">
        <v>30</v>
      </c>
      <c r="G43" s="35">
        <f>IF(AF39+AE41+AF43=0,"",AF39+AE41+AF43)</f>
        <v>4</v>
      </c>
      <c r="H43" s="31">
        <v>3</v>
      </c>
      <c r="J43" s="23" t="str">
        <f t="shared" si="48"/>
        <v>Erez Shmueli - Petřík Filip</v>
      </c>
      <c r="K43" s="23" t="str">
        <f t="shared" si="49"/>
        <v>3 : 0 (7,6,6)</v>
      </c>
      <c r="M43" s="23" t="str">
        <f>CONCATENATE("2.st. ",úvod!$C$8," - ",M38)</f>
        <v>2.st. YOUNGER CADET BOYS - Skupina F</v>
      </c>
      <c r="N43" s="23">
        <f>A41</f>
        <v>16</v>
      </c>
      <c r="O43" s="23" t="str">
        <f>IF($N43=0,"bye",VLOOKUP($N43,seznam!$A$2:$C$268,2))</f>
        <v>Erez Shmueli</v>
      </c>
      <c r="P43" s="23" t="str">
        <f>IF($N43=0,"",VLOOKUP($N43,seznam!$A$2:$D$268,4))</f>
        <v>Israel </v>
      </c>
      <c r="Q43" s="23">
        <f>A43</f>
        <v>43</v>
      </c>
      <c r="R43" s="23" t="str">
        <f>IF($Q43=0,"bye",VLOOKUP($Q43,seznam!$A$2:$C$268,2))</f>
        <v>Petřík Filip</v>
      </c>
      <c r="S43" s="23" t="str">
        <f>IF($Q43=0,"",VLOOKUP($Q43,seznam!$A$2:$D$268,4))</f>
        <v>Trebišov</v>
      </c>
      <c r="T43" s="58" t="s">
        <v>209</v>
      </c>
      <c r="U43" s="59" t="s">
        <v>210</v>
      </c>
      <c r="V43" s="59" t="s">
        <v>210</v>
      </c>
      <c r="W43" s="59"/>
      <c r="X43" s="60"/>
      <c r="Y43" s="23">
        <f t="shared" si="50"/>
        <v>3</v>
      </c>
      <c r="Z43" s="23">
        <f>COUNTIF(AH43:AL43,"&lt;0")</f>
        <v>0</v>
      </c>
      <c r="AA43" s="23">
        <f t="shared" si="51"/>
        <v>16</v>
      </c>
      <c r="AB43" s="23" t="str">
        <f>IF($AA43=0,"",VLOOKUP($AA43,seznam!$A$2:$C$268,2))</f>
        <v>Erez Shmueli</v>
      </c>
      <c r="AC43" s="23" t="str">
        <f t="shared" si="52"/>
        <v>3:0 (7,6,6)</v>
      </c>
      <c r="AD43" s="23" t="str">
        <f t="shared" si="53"/>
        <v>3:0 (7,6,6)</v>
      </c>
      <c r="AE43" s="23">
        <f t="shared" si="54"/>
        <v>2</v>
      </c>
      <c r="AF43" s="23">
        <f t="shared" si="55"/>
        <v>1</v>
      </c>
      <c r="AH43" s="23">
        <f t="shared" si="56"/>
        <v>1</v>
      </c>
      <c r="AI43" s="23">
        <f t="shared" si="56"/>
        <v>1</v>
      </c>
      <c r="AJ43" s="23">
        <f t="shared" si="56"/>
        <v>1</v>
      </c>
      <c r="AK43" s="23">
        <f t="shared" si="56"/>
        <v>0</v>
      </c>
      <c r="AL43" s="23">
        <f t="shared" si="56"/>
        <v>0</v>
      </c>
      <c r="AN43" s="23" t="str">
        <f>CONCATENATE("&lt;/Table&gt;&lt;/TD&gt;&lt;/TR&gt;&lt;/Table&gt;&lt;P&gt;")</f>
        <v>&lt;/Table&gt;&lt;/TD&gt;&lt;/TR&gt;&lt;/Table&gt;&lt;P&gt;</v>
      </c>
      <c r="AO43" s="23" t="str">
        <f>CONCATENATE("&lt;TR&gt;&lt;TD&gt;",A43,"&lt;TD width=200&gt;",B43,"&lt;TD&gt;",C43,"&lt;TD&gt;",D43,"&lt;TD&gt;",E43,"&lt;TD&gt;",F43,"&lt;TD&gt;",G43,"&lt;TD&gt;",H43,"&lt;/TD&gt;&lt;/TR&gt;")</f>
        <v>&lt;TR&gt;&lt;TD&gt;43&lt;TD width=200&gt;Petřík Filip (Trebišov)&lt;TD&gt;0:3&lt;TD&gt;0:3&lt;TD&gt;3:0&lt;TD&gt;XXX&lt;TD&gt;4&lt;TD&gt;3&lt;/TD&gt;&lt;/TR&gt;</v>
      </c>
      <c r="AP43" s="23" t="str">
        <f>CONCATENATE("&lt;TR&gt;&lt;TD&gt;",J43,"&lt;TD&gt;",K43,"&lt;/TD&gt;&lt;/TR&gt;")</f>
        <v>&lt;TR&gt;&lt;TD&gt;Erez Shmueli - Petřík Filip&lt;TD&gt;3 : 0 (7,6,6)&lt;/TD&gt;&lt;/TR&gt;</v>
      </c>
    </row>
    <row r="44" spans="10:42" ht="16.5" customHeight="1" thickBot="1" thickTop="1">
      <c r="J44" s="23" t="str">
        <f t="shared" si="48"/>
        <v>Červinka Lukáš - Wiltschka David</v>
      </c>
      <c r="K44" s="23" t="str">
        <f t="shared" si="49"/>
        <v>0 : 3 (-6,-8,-9)</v>
      </c>
      <c r="M44" s="23" t="str">
        <f>CONCATENATE("2.st. ",úvod!$C$8," - ",M38)</f>
        <v>2.st. YOUNGER CADET BOYS - Skupina F</v>
      </c>
      <c r="N44" s="23">
        <f>A42</f>
        <v>27</v>
      </c>
      <c r="O44" s="23" t="str">
        <f>IF($N44=0,"bye",VLOOKUP($N44,seznam!$A$2:$C$268,2))</f>
        <v>Červinka Lukáš</v>
      </c>
      <c r="P44" s="23" t="str">
        <f>IF($N44=0,"",VLOOKUP($N44,seznam!$A$2:$D$268,4))</f>
        <v>KST Kroměříž</v>
      </c>
      <c r="Q44" s="23">
        <f>A40</f>
        <v>10</v>
      </c>
      <c r="R44" s="23" t="str">
        <f>IF($Q44=0,"bye",VLOOKUP($Q44,seznam!$A$2:$C$268,2))</f>
        <v>Wiltschka David</v>
      </c>
      <c r="S44" s="23" t="str">
        <f>IF($Q44=0,"",VLOOKUP($Q44,seznam!$A$2:$D$268,4))</f>
        <v>Gasto Galanta</v>
      </c>
      <c r="T44" s="61" t="s">
        <v>221</v>
      </c>
      <c r="U44" s="62" t="s">
        <v>215</v>
      </c>
      <c r="V44" s="62" t="s">
        <v>207</v>
      </c>
      <c r="W44" s="62"/>
      <c r="X44" s="63"/>
      <c r="Y44" s="23">
        <f t="shared" si="50"/>
        <v>0</v>
      </c>
      <c r="Z44" s="23">
        <v>3</v>
      </c>
      <c r="AA44" s="23">
        <f t="shared" si="51"/>
        <v>10</v>
      </c>
      <c r="AB44" s="23" t="str">
        <f>IF($AA44=0,"",VLOOKUP($AA44,seznam!$A$2:$C$268,2))</f>
        <v>Wiltschka David</v>
      </c>
      <c r="AC44" s="23" t="str">
        <f t="shared" si="52"/>
        <v>3:0 (6,8,9)</v>
      </c>
      <c r="AD44" s="23" t="str">
        <f t="shared" si="53"/>
        <v>3:0 (6,8,9)</v>
      </c>
      <c r="AE44" s="23">
        <f t="shared" si="54"/>
        <v>1</v>
      </c>
      <c r="AF44" s="23">
        <f t="shared" si="55"/>
        <v>2</v>
      </c>
      <c r="AH44" s="23">
        <f t="shared" si="56"/>
        <v>-1</v>
      </c>
      <c r="AI44" s="23">
        <f t="shared" si="56"/>
        <v>-1</v>
      </c>
      <c r="AJ44" s="23">
        <f t="shared" si="56"/>
        <v>-1</v>
      </c>
      <c r="AK44" s="23">
        <f t="shared" si="56"/>
        <v>0</v>
      </c>
      <c r="AL44" s="23">
        <f t="shared" si="56"/>
        <v>0</v>
      </c>
      <c r="AP44" s="23" t="str">
        <f>CONCATENATE("&lt;TR&gt;&lt;TD&gt;",J44,"&lt;TD&gt;",K44,"&lt;/TD&gt;&lt;/TR&gt;")</f>
        <v>&lt;TR&gt;&lt;TD&gt;Červinka Lukáš - Wiltschka David&lt;TD&gt;0 : 3 (-6,-8,-9)&lt;/TD&gt;&lt;/TR&gt;</v>
      </c>
    </row>
    <row r="45" spans="13:40" ht="16.5" customHeight="1" thickBot="1" thickTop="1">
      <c r="M45" s="24" t="str">
        <f>B46</f>
        <v>Skupina G</v>
      </c>
      <c r="N45" s="24" t="s">
        <v>0</v>
      </c>
      <c r="O45" s="24" t="s">
        <v>1</v>
      </c>
      <c r="P45" s="24" t="s">
        <v>2</v>
      </c>
      <c r="Q45" s="24" t="s">
        <v>0</v>
      </c>
      <c r="R45" s="24" t="s">
        <v>3</v>
      </c>
      <c r="S45" s="24" t="s">
        <v>2</v>
      </c>
      <c r="T45" s="25" t="s">
        <v>4</v>
      </c>
      <c r="U45" s="25" t="s">
        <v>5</v>
      </c>
      <c r="V45" s="25" t="s">
        <v>6</v>
      </c>
      <c r="W45" s="25" t="s">
        <v>7</v>
      </c>
      <c r="X45" s="25" t="s">
        <v>8</v>
      </c>
      <c r="Y45" s="24" t="s">
        <v>9</v>
      </c>
      <c r="Z45" s="24" t="s">
        <v>10</v>
      </c>
      <c r="AA45" s="24" t="s">
        <v>11</v>
      </c>
      <c r="AN45" s="23" t="s">
        <v>16</v>
      </c>
    </row>
    <row r="46" spans="1:42" ht="16.5" customHeight="1" thickBot="1" thickTop="1">
      <c r="A46" s="44"/>
      <c r="B46" s="45" t="s">
        <v>24</v>
      </c>
      <c r="C46" s="46">
        <v>1</v>
      </c>
      <c r="D46" s="47">
        <v>2</v>
      </c>
      <c r="E46" s="47">
        <v>3</v>
      </c>
      <c r="F46" s="48">
        <v>4</v>
      </c>
      <c r="G46" s="49" t="s">
        <v>14</v>
      </c>
      <c r="H46" s="48" t="s">
        <v>15</v>
      </c>
      <c r="J46" s="23" t="str">
        <f aca="true" t="shared" si="57" ref="J46:J51">CONCATENATE(O46," - ",R46)</f>
        <v>Zelinka Jakub - bye</v>
      </c>
      <c r="K46" s="23">
        <f aca="true" t="shared" si="58" ref="K46:K51">IF(SUM(Y46:Z46)=0,AD46,CONCATENATE(Y46," : ",Z46," (",T46,",",U46,",",V46,IF(Y46+Z46&gt;3,",",""),W46,IF(Y46+Z46&gt;4,",",""),X46,")"))</f>
      </c>
      <c r="M46" s="23" t="str">
        <f>CONCATENATE("2.st. ",úvod!$C$8," - ",M45)</f>
        <v>2.st. YOUNGER CADET BOYS - Skupina G</v>
      </c>
      <c r="N46" s="23">
        <f>A47</f>
        <v>26</v>
      </c>
      <c r="O46" s="23" t="str">
        <f>IF($N46=0,"bye",VLOOKUP($N46,seznam!$A$2:$C$268,2))</f>
        <v>Zelinka Jakub</v>
      </c>
      <c r="P46" s="23" t="str">
        <f>IF($N46=0,"",VLOOKUP($N46,seznam!$A$2:$D$268,4))</f>
        <v>Košice </v>
      </c>
      <c r="Q46" s="23">
        <f>A50</f>
        <v>0</v>
      </c>
      <c r="R46" s="23" t="str">
        <f>IF($Q46=0,"bye",VLOOKUP($Q46,seznam!$A$2:$C$268,2))</f>
        <v>bye</v>
      </c>
      <c r="S46" s="23">
        <f>IF($Q46=0,"",VLOOKUP($Q46,seznam!$A$2:$D$268,4))</f>
      </c>
      <c r="T46" s="55"/>
      <c r="U46" s="56"/>
      <c r="V46" s="56"/>
      <c r="W46" s="56"/>
      <c r="X46" s="57"/>
      <c r="Y46" s="23">
        <f aca="true" t="shared" si="59" ref="Y46:Y51">COUNTIF(AH46:AL46,"&gt;0")</f>
        <v>0</v>
      </c>
      <c r="Z46" s="23">
        <f aca="true" t="shared" si="60" ref="Z46:Z51">COUNTIF(AH46:AL46,"&lt;0")</f>
        <v>0</v>
      </c>
      <c r="AA46" s="23">
        <f aca="true" t="shared" si="61" ref="AA46:AA51">IF(Y46=Z46,0,IF(Y46&gt;Z46,N46,Q46))</f>
        <v>0</v>
      </c>
      <c r="AB46" s="23">
        <f>IF($AA46=0,"",VLOOKUP($AA46,seznam!$A$2:$C$268,2))</f>
      </c>
      <c r="AC46" s="23">
        <f aca="true" t="shared" si="62" ref="AC46:AC51">IF(Y46=Z46,"",IF(Y46&gt;Z46,CONCATENATE(Y46,":",Z46," (",T46,",",U46,",",V46,IF(SUM(Y46:Z46)&gt;3,",",""),W46,IF(SUM(Y46:Z46)&gt;4,",",""),X46,")"),CONCATENATE(Z46,":",Y46," (",-T46,",",-U46,",",-V46,IF(SUM(Y46:Z46)&gt;3,CONCATENATE(",",-W46),""),IF(SUM(Y46:Z46)&gt;4,CONCATENATE(",",-X46),""),")")))</f>
      </c>
      <c r="AD46" s="23">
        <f aca="true" t="shared" si="63" ref="AD46:AD51">IF(SUM(Y46:Z46)=0,"",AC46)</f>
      </c>
      <c r="AE46" s="23">
        <f aca="true" t="shared" si="64" ref="AE46:AE51">IF(T46="",0,IF(Y46&gt;Z46,2,1))</f>
        <v>0</v>
      </c>
      <c r="AF46" s="23">
        <f aca="true" t="shared" si="65" ref="AF46:AF51">IF(T46="",0,IF(Z46&gt;Y46,2,1))</f>
        <v>0</v>
      </c>
      <c r="AH46" s="23">
        <f aca="true" t="shared" si="66" ref="AH46:AL51">IF(T46="",0,IF(MID(T46,1,1)="-",-1,1))</f>
        <v>0</v>
      </c>
      <c r="AI46" s="23">
        <f t="shared" si="66"/>
        <v>0</v>
      </c>
      <c r="AJ46" s="23">
        <f t="shared" si="66"/>
        <v>0</v>
      </c>
      <c r="AK46" s="23">
        <f t="shared" si="66"/>
        <v>0</v>
      </c>
      <c r="AL46" s="23">
        <f t="shared" si="66"/>
        <v>0</v>
      </c>
      <c r="AN46" s="23" t="str">
        <f>CONCATENATE("&lt;Table border=1 cellpading=0 cellspacing=0 width=480&gt;&lt;TR&gt;&lt;TH colspan=2&gt;",B46,"&lt;TH&gt;1&lt;TH&gt;2&lt;TH&gt;3&lt;TH&gt;4&lt;TH&gt;Body&lt;TH&gt;Pořadí&lt;/TH&gt;&lt;/TR&gt;")</f>
        <v>&lt;Table border=1 cellpading=0 cellspacing=0 width=480&gt;&lt;TR&gt;&lt;TH colspan=2&gt;Skupina G&lt;TH&gt;1&lt;TH&gt;2&lt;TH&gt;3&lt;TH&gt;4&lt;TH&gt;Body&lt;TH&gt;Pořadí&lt;/TH&gt;&lt;/TR&gt;</v>
      </c>
      <c r="AP46" s="23" t="str">
        <f>CONCATENATE("&lt;TR&gt;&lt;TD width=250&gt;",J46,"&lt;TD&gt;",K46,"&lt;/TD&gt;&lt;/TR&gt;")</f>
        <v>&lt;TR&gt;&lt;TD width=250&gt;Zelinka Jakub - bye&lt;TD&gt;&lt;/TD&gt;&lt;/TR&gt;</v>
      </c>
    </row>
    <row r="47" spans="1:42" ht="16.5" customHeight="1" thickTop="1">
      <c r="A47" s="38">
        <v>26</v>
      </c>
      <c r="B47" s="39" t="str">
        <f>IF($A47="","",CONCATENATE(VLOOKUP($A47,seznam!$A$2:$B$268,2)," (",VLOOKUP($A47,seznam!$A$2:$E$269,4),")"))</f>
        <v>Zelinka Jakub (Košice )</v>
      </c>
      <c r="C47" s="40" t="s">
        <v>30</v>
      </c>
      <c r="D47" s="41" t="str">
        <f>IF(Y49+Z49=0,"",CONCATENATE(Y49,":",Z49))</f>
        <v>3:0</v>
      </c>
      <c r="E47" s="41" t="str">
        <f>IF(Y51+Z51=0,"",CONCATENATE(Z51,":",Y51))</f>
        <v>3:0</v>
      </c>
      <c r="F47" s="42">
        <f>IF(Y46+Z46=0,"",CONCATENATE(Y46,":",Z46))</f>
      </c>
      <c r="G47" s="43">
        <f>IF(AE46+AE49+AF51=0,"",AE46+AE49+AF51)</f>
        <v>4</v>
      </c>
      <c r="H47" s="42">
        <v>1</v>
      </c>
      <c r="J47" s="23" t="str">
        <f t="shared" si="57"/>
        <v>Shilo Elitzedek - Kostrián Matúš</v>
      </c>
      <c r="K47" s="23" t="str">
        <f t="shared" si="58"/>
        <v>3 : 0 (7,9,12)</v>
      </c>
      <c r="M47" s="23" t="str">
        <f>CONCATENATE("2.st. ",úvod!$C$8," - ",M45)</f>
        <v>2.st. YOUNGER CADET BOYS - Skupina G</v>
      </c>
      <c r="N47" s="23">
        <f>A48</f>
        <v>17</v>
      </c>
      <c r="O47" s="23" t="str">
        <f>IF($N47=0,"bye",VLOOKUP($N47,seznam!$A$2:$C$268,2))</f>
        <v>Shilo Elitzedek</v>
      </c>
      <c r="P47" s="23" t="str">
        <f>IF($N47=0,"",VLOOKUP($N47,seznam!$A$2:$D$268,4))</f>
        <v>Israel </v>
      </c>
      <c r="Q47" s="23">
        <f>A49</f>
        <v>60</v>
      </c>
      <c r="R47" s="23" t="str">
        <f>IF($Q47=0,"bye",VLOOKUP($Q47,seznam!$A$2:$C$268,2))</f>
        <v>Kostrián Matúš</v>
      </c>
      <c r="S47" s="23" t="str">
        <f>IF($Q47=0,"",VLOOKUP($Q47,seznam!$A$2:$D$268,4))</f>
        <v>STK Pezinok</v>
      </c>
      <c r="T47" s="58" t="s">
        <v>209</v>
      </c>
      <c r="U47" s="59" t="s">
        <v>213</v>
      </c>
      <c r="V47" s="59" t="s">
        <v>219</v>
      </c>
      <c r="W47" s="59"/>
      <c r="X47" s="60"/>
      <c r="Y47" s="23">
        <f t="shared" si="59"/>
        <v>3</v>
      </c>
      <c r="Z47" s="23">
        <f t="shared" si="60"/>
        <v>0</v>
      </c>
      <c r="AA47" s="23">
        <f t="shared" si="61"/>
        <v>17</v>
      </c>
      <c r="AB47" s="23" t="str">
        <f>IF($AA47=0,"",VLOOKUP($AA47,seznam!$A$2:$C$268,2))</f>
        <v>Shilo Elitzedek</v>
      </c>
      <c r="AC47" s="23" t="str">
        <f t="shared" si="62"/>
        <v>3:0 (7,9,12)</v>
      </c>
      <c r="AD47" s="23" t="str">
        <f t="shared" si="63"/>
        <v>3:0 (7,9,12)</v>
      </c>
      <c r="AE47" s="23">
        <f t="shared" si="64"/>
        <v>2</v>
      </c>
      <c r="AF47" s="23">
        <f t="shared" si="65"/>
        <v>1</v>
      </c>
      <c r="AH47" s="23">
        <f t="shared" si="66"/>
        <v>1</v>
      </c>
      <c r="AI47" s="23">
        <f t="shared" si="66"/>
        <v>1</v>
      </c>
      <c r="AJ47" s="23">
        <f t="shared" si="66"/>
        <v>1</v>
      </c>
      <c r="AK47" s="23">
        <f t="shared" si="66"/>
        <v>0</v>
      </c>
      <c r="AL47" s="23">
        <f t="shared" si="66"/>
        <v>0</v>
      </c>
      <c r="AN47" s="23" t="str">
        <f>CONCATENATE(AO47,AO48,AO49,AO50,)</f>
        <v>&lt;TR&gt;&lt;TD&gt;26&lt;TD width=200&gt;Zelinka Jakub (Košice )&lt;TD&gt;XXX&lt;TD&gt;3:0&lt;TD&gt;3:0&lt;TD&gt;&lt;TD&gt;4&lt;TD&gt;1&lt;/TD&gt;&lt;/TR&gt;&lt;TR&gt;&lt;TD&gt;17&lt;TD width=200&gt;Shilo Elitzedek (Israel )&lt;TD&gt;0:3&lt;TD&gt;XXX&lt;TD&gt;3:0&lt;TD&gt;&lt;TD&gt;3&lt;TD&gt;2&lt;/TD&gt;&lt;/TR&gt;&lt;TR&gt;&lt;TD&gt;60&lt;TD width=200&gt;Kostrián Matúš (STK Pezinok)&lt;TD&gt;0:3&lt;TD&gt;0:3&lt;TD&gt;XXX&lt;TD&gt;&lt;TD&gt;2&lt;TD&gt;3&lt;/TD&gt;&lt;/TR&gt;&lt;TR&gt;&lt;TD&gt;&lt;TD width=200&gt;&lt;TD&gt;&lt;TD&gt;&lt;TD&gt;&lt;TD&gt;XXX&lt;TD&gt;&lt;TD&gt;&lt;/TD&gt;&lt;/TR&gt;</v>
      </c>
      <c r="AO47" s="23" t="str">
        <f>CONCATENATE("&lt;TR&gt;&lt;TD&gt;",A47,"&lt;TD width=200&gt;",B47,"&lt;TD&gt;",C47,"&lt;TD&gt;",D47,"&lt;TD&gt;",E47,"&lt;TD&gt;",F47,"&lt;TD&gt;",G47,"&lt;TD&gt;",H47,"&lt;/TD&gt;&lt;/TR&gt;")</f>
        <v>&lt;TR&gt;&lt;TD&gt;26&lt;TD width=200&gt;Zelinka Jakub (Košice )&lt;TD&gt;XXX&lt;TD&gt;3:0&lt;TD&gt;3:0&lt;TD&gt;&lt;TD&gt;4&lt;TD&gt;1&lt;/TD&gt;&lt;/TR&gt;</v>
      </c>
      <c r="AP47" s="23" t="str">
        <f>CONCATENATE("&lt;TR&gt;&lt;TD&gt;",J47,"&lt;TD&gt;",K47,"&lt;/TD&gt;&lt;/TR&gt;")</f>
        <v>&lt;TR&gt;&lt;TD&gt;Shilo Elitzedek - Kostrián Matúš&lt;TD&gt;3 : 0 (7,9,12)&lt;/TD&gt;&lt;/TR&gt;</v>
      </c>
    </row>
    <row r="48" spans="1:42" ht="16.5" customHeight="1">
      <c r="A48" s="26">
        <v>17</v>
      </c>
      <c r="B48" s="32" t="str">
        <f>IF($A48="","",CONCATENATE(VLOOKUP($A48,seznam!$A$2:$B$268,2)," (",VLOOKUP($A48,seznam!$A$2:$E$269,4),")"))</f>
        <v>Shilo Elitzedek (Israel )</v>
      </c>
      <c r="C48" s="36" t="str">
        <f>IF(Y49+Z49=0,"",CONCATENATE(Z49,":",Y49))</f>
        <v>0:3</v>
      </c>
      <c r="D48" s="27" t="s">
        <v>30</v>
      </c>
      <c r="E48" s="27" t="str">
        <f>IF(Y47+Z47=0,"",CONCATENATE(Y47,":",Z47))</f>
        <v>3:0</v>
      </c>
      <c r="F48" s="28">
        <f>IF(Y50+Z50=0,"",CONCATENATE(Y50,":",Z50))</f>
      </c>
      <c r="G48" s="34">
        <f>IF(AE47+AF49+AE50=0,"",AE47+AF49+AE50)</f>
        <v>3</v>
      </c>
      <c r="H48" s="28">
        <v>2</v>
      </c>
      <c r="J48" s="23" t="str">
        <f t="shared" si="57"/>
        <v>bye - Kostrián Matúš</v>
      </c>
      <c r="K48" s="23">
        <f t="shared" si="58"/>
      </c>
      <c r="M48" s="23" t="str">
        <f>CONCATENATE("2.st. ",úvod!$C$8," - ",M45)</f>
        <v>2.st. YOUNGER CADET BOYS - Skupina G</v>
      </c>
      <c r="N48" s="23">
        <f>A50</f>
        <v>0</v>
      </c>
      <c r="O48" s="23" t="str">
        <f>IF($N48=0,"bye",VLOOKUP($N48,seznam!$A$2:$C$268,2))</f>
        <v>bye</v>
      </c>
      <c r="P48" s="23">
        <f>IF($N48=0,"",VLOOKUP($N48,seznam!$A$2:$D$268,4))</f>
      </c>
      <c r="Q48" s="23">
        <f>A49</f>
        <v>60</v>
      </c>
      <c r="R48" s="23" t="str">
        <f>IF($Q48=0,"bye",VLOOKUP($Q48,seznam!$A$2:$C$268,2))</f>
        <v>Kostrián Matúš</v>
      </c>
      <c r="S48" s="23" t="str">
        <f>IF($Q48=0,"",VLOOKUP($Q48,seznam!$A$2:$D$268,4))</f>
        <v>STK Pezinok</v>
      </c>
      <c r="T48" s="58"/>
      <c r="U48" s="59"/>
      <c r="V48" s="59"/>
      <c r="W48" s="59"/>
      <c r="X48" s="60"/>
      <c r="Y48" s="23">
        <f t="shared" si="59"/>
        <v>0</v>
      </c>
      <c r="Z48" s="23">
        <f t="shared" si="60"/>
        <v>0</v>
      </c>
      <c r="AA48" s="23">
        <f t="shared" si="61"/>
        <v>0</v>
      </c>
      <c r="AB48" s="23">
        <f>IF($AA48=0,"",VLOOKUP($AA48,seznam!$A$2:$C$268,2))</f>
      </c>
      <c r="AC48" s="23">
        <f t="shared" si="62"/>
      </c>
      <c r="AD48" s="23">
        <f t="shared" si="63"/>
      </c>
      <c r="AE48" s="23">
        <f t="shared" si="64"/>
        <v>0</v>
      </c>
      <c r="AF48" s="23">
        <f t="shared" si="65"/>
        <v>0</v>
      </c>
      <c r="AH48" s="23">
        <f t="shared" si="66"/>
        <v>0</v>
      </c>
      <c r="AI48" s="23">
        <f t="shared" si="66"/>
        <v>0</v>
      </c>
      <c r="AJ48" s="23">
        <f t="shared" si="66"/>
        <v>0</v>
      </c>
      <c r="AK48" s="23">
        <f t="shared" si="66"/>
        <v>0</v>
      </c>
      <c r="AL48" s="23">
        <f t="shared" si="66"/>
        <v>0</v>
      </c>
      <c r="AN48" s="23" t="str">
        <f>CONCATENATE("&lt;/Table&gt;&lt;TD width=420&gt;&lt;Table&gt;")</f>
        <v>&lt;/Table&gt;&lt;TD width=420&gt;&lt;Table&gt;</v>
      </c>
      <c r="AO48" s="23" t="str">
        <f>CONCATENATE("&lt;TR&gt;&lt;TD&gt;",A48,"&lt;TD width=200&gt;",B48,"&lt;TD&gt;",C48,"&lt;TD&gt;",D48,"&lt;TD&gt;",E48,"&lt;TD&gt;",F48,"&lt;TD&gt;",G48,"&lt;TD&gt;",H48,"&lt;/TD&gt;&lt;/TR&gt;")</f>
        <v>&lt;TR&gt;&lt;TD&gt;17&lt;TD width=200&gt;Shilo Elitzedek (Israel )&lt;TD&gt;0:3&lt;TD&gt;XXX&lt;TD&gt;3:0&lt;TD&gt;&lt;TD&gt;3&lt;TD&gt;2&lt;/TD&gt;&lt;/TR&gt;</v>
      </c>
      <c r="AP48" s="23" t="str">
        <f>CONCATENATE("&lt;TR&gt;&lt;TD&gt;",J48,"&lt;TD&gt;",K48,"&lt;/TD&gt;&lt;/TR&gt;")</f>
        <v>&lt;TR&gt;&lt;TD&gt;bye - Kostrián Matúš&lt;TD&gt;&lt;/TD&gt;&lt;/TR&gt;</v>
      </c>
    </row>
    <row r="49" spans="1:42" ht="16.5" customHeight="1">
      <c r="A49" s="26">
        <v>60</v>
      </c>
      <c r="B49" s="32" t="str">
        <f>IF($A49="","",CONCATENATE(VLOOKUP($A49,seznam!$A$2:$B$268,2)," (",VLOOKUP($A49,seznam!$A$2:$E$269,4),")"))</f>
        <v>Kostrián Matúš (STK Pezinok)</v>
      </c>
      <c r="C49" s="36" t="str">
        <f>IF(Y51+Z51=0,"",CONCATENATE(Y51,":",Z51))</f>
        <v>0:3</v>
      </c>
      <c r="D49" s="27" t="str">
        <f>IF(Y47+Z47=0,"",CONCATENATE(Z47,":",Y47))</f>
        <v>0:3</v>
      </c>
      <c r="E49" s="27" t="s">
        <v>30</v>
      </c>
      <c r="F49" s="28">
        <f>IF(Y48+Z48=0,"",CONCATENATE(Z48,":",Y48))</f>
      </c>
      <c r="G49" s="34">
        <f>IF(AF47+AF48+AE51=0,"",AF47+AF48+AE51)</f>
        <v>2</v>
      </c>
      <c r="H49" s="28">
        <v>3</v>
      </c>
      <c r="J49" s="23" t="str">
        <f t="shared" si="57"/>
        <v>Zelinka Jakub - Shilo Elitzedek</v>
      </c>
      <c r="K49" s="23" t="str">
        <f t="shared" si="58"/>
        <v>3 : 0 (3,1,1)</v>
      </c>
      <c r="M49" s="23" t="str">
        <f>CONCATENATE("2.st. ",úvod!$C$8," - ",M45)</f>
        <v>2.st. YOUNGER CADET BOYS - Skupina G</v>
      </c>
      <c r="N49" s="23">
        <f>A47</f>
        <v>26</v>
      </c>
      <c r="O49" s="23" t="str">
        <f>IF($N49=0,"bye",VLOOKUP($N49,seznam!$A$2:$C$268,2))</f>
        <v>Zelinka Jakub</v>
      </c>
      <c r="P49" s="23" t="str">
        <f>IF($N49=0,"",VLOOKUP($N49,seznam!$A$2:$D$268,4))</f>
        <v>Košice </v>
      </c>
      <c r="Q49" s="23">
        <f>A48</f>
        <v>17</v>
      </c>
      <c r="R49" s="23" t="str">
        <f>IF($Q49=0,"bye",VLOOKUP($Q49,seznam!$A$2:$C$268,2))</f>
        <v>Shilo Elitzedek</v>
      </c>
      <c r="S49" s="23" t="str">
        <f>IF($Q49=0,"",VLOOKUP($Q49,seznam!$A$2:$D$268,4))</f>
        <v>Israel </v>
      </c>
      <c r="T49" s="58" t="s">
        <v>212</v>
      </c>
      <c r="U49" s="59" t="s">
        <v>205</v>
      </c>
      <c r="V49" s="59" t="s">
        <v>205</v>
      </c>
      <c r="W49" s="59"/>
      <c r="X49" s="60"/>
      <c r="Y49" s="23">
        <f t="shared" si="59"/>
        <v>3</v>
      </c>
      <c r="Z49" s="23">
        <f t="shared" si="60"/>
        <v>0</v>
      </c>
      <c r="AA49" s="23">
        <f t="shared" si="61"/>
        <v>26</v>
      </c>
      <c r="AB49" s="23" t="str">
        <f>IF($AA49=0,"",VLOOKUP($AA49,seznam!$A$2:$C$268,2))</f>
        <v>Zelinka Jakub</v>
      </c>
      <c r="AC49" s="23" t="str">
        <f t="shared" si="62"/>
        <v>3:0 (3,1,1)</v>
      </c>
      <c r="AD49" s="23" t="str">
        <f t="shared" si="63"/>
        <v>3:0 (3,1,1)</v>
      </c>
      <c r="AE49" s="23">
        <f t="shared" si="64"/>
        <v>2</v>
      </c>
      <c r="AF49" s="23">
        <f t="shared" si="65"/>
        <v>1</v>
      </c>
      <c r="AH49" s="23">
        <f t="shared" si="66"/>
        <v>1</v>
      </c>
      <c r="AI49" s="23">
        <f t="shared" si="66"/>
        <v>1</v>
      </c>
      <c r="AJ49" s="23">
        <f t="shared" si="66"/>
        <v>1</v>
      </c>
      <c r="AK49" s="23">
        <f t="shared" si="66"/>
        <v>0</v>
      </c>
      <c r="AL49" s="23">
        <f t="shared" si="66"/>
        <v>0</v>
      </c>
      <c r="AN49" s="23" t="str">
        <f>CONCATENATE(AP46,AP47,AP48,AP49,AP50,AP51,)</f>
        <v>&lt;TR&gt;&lt;TD width=250&gt;Zelinka Jakub - bye&lt;TD&gt;&lt;/TD&gt;&lt;/TR&gt;&lt;TR&gt;&lt;TD&gt;Shilo Elitzedek - Kostrián Matúš&lt;TD&gt;3 : 0 (7,9,12)&lt;/TD&gt;&lt;/TR&gt;&lt;TR&gt;&lt;TD&gt;bye - Kostrián Matúš&lt;TD&gt;&lt;/TD&gt;&lt;/TR&gt;&lt;TR&gt;&lt;TD&gt;Zelinka Jakub - Shilo Elitzedek&lt;TD&gt;3 : 0 (3,1,1)&lt;/TD&gt;&lt;/TR&gt;&lt;TR&gt;&lt;TD&gt;Shilo Elitzedek - bye&lt;TD&gt;&lt;/TD&gt;&lt;/TR&gt;&lt;TR&gt;&lt;TD&gt;Kostrián Matúš - Zelinka Jakub&lt;TD&gt;0 : 3 (-3,-5,-6)&lt;/TD&gt;&lt;/TR&gt;</v>
      </c>
      <c r="AO49" s="23" t="str">
        <f>CONCATENATE("&lt;TR&gt;&lt;TD&gt;",A49,"&lt;TD width=200&gt;",B49,"&lt;TD&gt;",C49,"&lt;TD&gt;",D49,"&lt;TD&gt;",E49,"&lt;TD&gt;",F49,"&lt;TD&gt;",G49,"&lt;TD&gt;",H49,"&lt;/TD&gt;&lt;/TR&gt;")</f>
        <v>&lt;TR&gt;&lt;TD&gt;60&lt;TD width=200&gt;Kostrián Matúš (STK Pezinok)&lt;TD&gt;0:3&lt;TD&gt;0:3&lt;TD&gt;XXX&lt;TD&gt;&lt;TD&gt;2&lt;TD&gt;3&lt;/TD&gt;&lt;/TR&gt;</v>
      </c>
      <c r="AP49" s="23" t="str">
        <f>CONCATENATE("&lt;TR&gt;&lt;TD&gt;",J49,"&lt;TD&gt;",K49,"&lt;/TD&gt;&lt;/TR&gt;")</f>
        <v>&lt;TR&gt;&lt;TD&gt;Zelinka Jakub - Shilo Elitzedek&lt;TD&gt;3 : 0 (3,1,1)&lt;/TD&gt;&lt;/TR&gt;</v>
      </c>
    </row>
    <row r="50" spans="1:42" ht="16.5" customHeight="1" thickBot="1">
      <c r="A50" s="29"/>
      <c r="B50" s="33">
        <f>IF($A50="","",CONCATENATE(VLOOKUP($A50,seznam!$A$2:$B$268,2)," (",VLOOKUP($A50,seznam!$A$2:$E$269,4),")"))</f>
      </c>
      <c r="C50" s="37">
        <f>IF(Y46+Z46=0,"",CONCATENATE(Z46,":",Y46))</f>
      </c>
      <c r="D50" s="30">
        <f>IF(Y50+Z50=0,"",CONCATENATE(Z50,":",Y50))</f>
      </c>
      <c r="E50" s="30">
        <f>IF(Y48+Z48=0,"",CONCATENATE(Y48,":",Z48))</f>
      </c>
      <c r="F50" s="31" t="s">
        <v>30</v>
      </c>
      <c r="G50" s="35">
        <f>IF(AF46+AE48+AF50=0,"",AF46+AE48+AF50)</f>
      </c>
      <c r="H50" s="31"/>
      <c r="J50" s="23" t="str">
        <f t="shared" si="57"/>
        <v>Shilo Elitzedek - bye</v>
      </c>
      <c r="K50" s="23">
        <f t="shared" si="58"/>
      </c>
      <c r="M50" s="23" t="str">
        <f>CONCATENATE("2.st. ",úvod!$C$8," - ",M45)</f>
        <v>2.st. YOUNGER CADET BOYS - Skupina G</v>
      </c>
      <c r="N50" s="23">
        <f>A48</f>
        <v>17</v>
      </c>
      <c r="O50" s="23" t="str">
        <f>IF($N50=0,"bye",VLOOKUP($N50,seznam!$A$2:$C$268,2))</f>
        <v>Shilo Elitzedek</v>
      </c>
      <c r="P50" s="23" t="str">
        <f>IF($N50=0,"",VLOOKUP($N50,seznam!$A$2:$D$268,4))</f>
        <v>Israel </v>
      </c>
      <c r="Q50" s="23">
        <f>A50</f>
        <v>0</v>
      </c>
      <c r="R50" s="23" t="str">
        <f>IF($Q50=0,"bye",VLOOKUP($Q50,seznam!$A$2:$C$268,2))</f>
        <v>bye</v>
      </c>
      <c r="S50" s="23">
        <f>IF($Q50=0,"",VLOOKUP($Q50,seznam!$A$2:$D$268,4))</f>
      </c>
      <c r="T50" s="58"/>
      <c r="U50" s="59"/>
      <c r="V50" s="59"/>
      <c r="W50" s="59"/>
      <c r="X50" s="60"/>
      <c r="Y50" s="23">
        <f t="shared" si="59"/>
        <v>0</v>
      </c>
      <c r="Z50" s="23">
        <f t="shared" si="60"/>
        <v>0</v>
      </c>
      <c r="AA50" s="23">
        <f t="shared" si="61"/>
        <v>0</v>
      </c>
      <c r="AB50" s="23">
        <f>IF($AA50=0,"",VLOOKUP($AA50,seznam!$A$2:$C$268,2))</f>
      </c>
      <c r="AC50" s="23">
        <f t="shared" si="62"/>
      </c>
      <c r="AD50" s="23">
        <f t="shared" si="63"/>
      </c>
      <c r="AE50" s="23">
        <f t="shared" si="64"/>
        <v>0</v>
      </c>
      <c r="AF50" s="23">
        <f t="shared" si="65"/>
        <v>0</v>
      </c>
      <c r="AH50" s="23">
        <f t="shared" si="66"/>
        <v>0</v>
      </c>
      <c r="AI50" s="23">
        <f t="shared" si="66"/>
        <v>0</v>
      </c>
      <c r="AJ50" s="23">
        <f t="shared" si="66"/>
        <v>0</v>
      </c>
      <c r="AK50" s="23">
        <f t="shared" si="66"/>
        <v>0</v>
      </c>
      <c r="AL50" s="23">
        <f t="shared" si="66"/>
        <v>0</v>
      </c>
      <c r="AN50" s="23" t="str">
        <f>CONCATENATE("&lt;/Table&gt;&lt;/TD&gt;&lt;/TR&gt;&lt;/Table&gt;&lt;P&gt;")</f>
        <v>&lt;/Table&gt;&lt;/TD&gt;&lt;/TR&gt;&lt;/Table&gt;&lt;P&gt;</v>
      </c>
      <c r="AO50" s="23" t="str">
        <f>CONCATENATE("&lt;TR&gt;&lt;TD&gt;",A50,"&lt;TD width=200&gt;",B50,"&lt;TD&gt;",C50,"&lt;TD&gt;",D50,"&lt;TD&gt;",E50,"&lt;TD&gt;",F50,"&lt;TD&gt;",G50,"&lt;TD&gt;",H50,"&lt;/TD&gt;&lt;/TR&gt;")</f>
        <v>&lt;TR&gt;&lt;TD&gt;&lt;TD width=200&gt;&lt;TD&gt;&lt;TD&gt;&lt;TD&gt;&lt;TD&gt;XXX&lt;TD&gt;&lt;TD&gt;&lt;/TD&gt;&lt;/TR&gt;</v>
      </c>
      <c r="AP50" s="23" t="str">
        <f>CONCATENATE("&lt;TR&gt;&lt;TD&gt;",J50,"&lt;TD&gt;",K50,"&lt;/TD&gt;&lt;/TR&gt;")</f>
        <v>&lt;TR&gt;&lt;TD&gt;Shilo Elitzedek - bye&lt;TD&gt;&lt;/TD&gt;&lt;/TR&gt;</v>
      </c>
    </row>
    <row r="51" spans="10:42" ht="16.5" customHeight="1" thickBot="1" thickTop="1">
      <c r="J51" s="23" t="str">
        <f t="shared" si="57"/>
        <v>Kostrián Matúš - Zelinka Jakub</v>
      </c>
      <c r="K51" s="23" t="str">
        <f t="shared" si="58"/>
        <v>0 : 3 (-3,-5,-6)</v>
      </c>
      <c r="M51" s="23" t="str">
        <f>CONCATENATE("2.st. ",úvod!$C$8," - ",M45)</f>
        <v>2.st. YOUNGER CADET BOYS - Skupina G</v>
      </c>
      <c r="N51" s="23">
        <f>A49</f>
        <v>60</v>
      </c>
      <c r="O51" s="23" t="str">
        <f>IF($N51=0,"bye",VLOOKUP($N51,seznam!$A$2:$C$268,2))</f>
        <v>Kostrián Matúš</v>
      </c>
      <c r="P51" s="23" t="str">
        <f>IF($N51=0,"",VLOOKUP($N51,seznam!$A$2:$D$268,4))</f>
        <v>STK Pezinok</v>
      </c>
      <c r="Q51" s="23">
        <f>A47</f>
        <v>26</v>
      </c>
      <c r="R51" s="23" t="str">
        <f>IF($Q51=0,"bye",VLOOKUP($Q51,seznam!$A$2:$C$268,2))</f>
        <v>Zelinka Jakub</v>
      </c>
      <c r="S51" s="23" t="str">
        <f>IF($Q51=0,"",VLOOKUP($Q51,seznam!$A$2:$D$268,4))</f>
        <v>Košice </v>
      </c>
      <c r="T51" s="61" t="s">
        <v>228</v>
      </c>
      <c r="U51" s="62" t="s">
        <v>224</v>
      </c>
      <c r="V51" s="62" t="s">
        <v>221</v>
      </c>
      <c r="W51" s="62"/>
      <c r="X51" s="63"/>
      <c r="Y51" s="23">
        <f t="shared" si="59"/>
        <v>0</v>
      </c>
      <c r="Z51" s="23">
        <f t="shared" si="60"/>
        <v>3</v>
      </c>
      <c r="AA51" s="23">
        <f t="shared" si="61"/>
        <v>26</v>
      </c>
      <c r="AB51" s="23" t="str">
        <f>IF($AA51=0,"",VLOOKUP($AA51,seznam!$A$2:$C$268,2))</f>
        <v>Zelinka Jakub</v>
      </c>
      <c r="AC51" s="23" t="str">
        <f t="shared" si="62"/>
        <v>3:0 (3,5,6)</v>
      </c>
      <c r="AD51" s="23" t="str">
        <f t="shared" si="63"/>
        <v>3:0 (3,5,6)</v>
      </c>
      <c r="AE51" s="23">
        <f t="shared" si="64"/>
        <v>1</v>
      </c>
      <c r="AF51" s="23">
        <f t="shared" si="65"/>
        <v>2</v>
      </c>
      <c r="AH51" s="23">
        <f t="shared" si="66"/>
        <v>-1</v>
      </c>
      <c r="AI51" s="23">
        <f t="shared" si="66"/>
        <v>-1</v>
      </c>
      <c r="AJ51" s="23">
        <f t="shared" si="66"/>
        <v>-1</v>
      </c>
      <c r="AK51" s="23">
        <f t="shared" si="66"/>
        <v>0</v>
      </c>
      <c r="AL51" s="23">
        <f t="shared" si="66"/>
        <v>0</v>
      </c>
      <c r="AP51" s="23" t="str">
        <f>CONCATENATE("&lt;TR&gt;&lt;TD&gt;",J51,"&lt;TD&gt;",K51,"&lt;/TD&gt;&lt;/TR&gt;")</f>
        <v>&lt;TR&gt;&lt;TD&gt;Kostrián Matúš - Zelinka Jakub&lt;TD&gt;0 : 3 (-3,-5,-6)&lt;/TD&gt;&lt;/TR&gt;</v>
      </c>
    </row>
    <row r="52" spans="13:40" ht="16.5" customHeight="1" thickBot="1" thickTop="1">
      <c r="M52" s="24" t="str">
        <f>B53</f>
        <v>Skupina H</v>
      </c>
      <c r="N52" s="24" t="s">
        <v>0</v>
      </c>
      <c r="O52" s="24" t="s">
        <v>1</v>
      </c>
      <c r="P52" s="24" t="s">
        <v>2</v>
      </c>
      <c r="Q52" s="24" t="s">
        <v>0</v>
      </c>
      <c r="R52" s="24" t="s">
        <v>3</v>
      </c>
      <c r="S52" s="24" t="s">
        <v>2</v>
      </c>
      <c r="T52" s="25" t="s">
        <v>4</v>
      </c>
      <c r="U52" s="25" t="s">
        <v>5</v>
      </c>
      <c r="V52" s="25" t="s">
        <v>6</v>
      </c>
      <c r="W52" s="25" t="s">
        <v>7</v>
      </c>
      <c r="X52" s="25" t="s">
        <v>8</v>
      </c>
      <c r="Y52" s="24" t="s">
        <v>9</v>
      </c>
      <c r="Z52" s="24" t="s">
        <v>10</v>
      </c>
      <c r="AA52" s="24" t="s">
        <v>11</v>
      </c>
      <c r="AN52" s="23" t="s">
        <v>16</v>
      </c>
    </row>
    <row r="53" spans="1:42" ht="16.5" customHeight="1" thickBot="1" thickTop="1">
      <c r="A53" s="44"/>
      <c r="B53" s="45" t="s">
        <v>25</v>
      </c>
      <c r="C53" s="46">
        <v>1</v>
      </c>
      <c r="D53" s="47">
        <v>2</v>
      </c>
      <c r="E53" s="47">
        <v>3</v>
      </c>
      <c r="F53" s="48">
        <v>4</v>
      </c>
      <c r="G53" s="49" t="s">
        <v>14</v>
      </c>
      <c r="H53" s="48" t="s">
        <v>15</v>
      </c>
      <c r="J53" s="23" t="str">
        <f aca="true" t="shared" si="67" ref="J53:J58">CONCATENATE(O53," - ",R53)</f>
        <v>Jiří Martinko - Miko Michal</v>
      </c>
      <c r="K53" s="23" t="str">
        <f aca="true" t="shared" si="68" ref="K53:K58">IF(SUM(Y53:Z53)=0,AD53,CONCATENATE(Y53," : ",Z53," (",T53,",",U53,",",V53,IF(Y53+Z53&gt;3,",",""),W53,IF(Y53+Z53&gt;4,",",""),X53,")"))</f>
        <v>3 : 0 (1,2,6)</v>
      </c>
      <c r="M53" s="23" t="str">
        <f>CONCATENATE("2.st. ",úvod!$C$8," - ",M52)</f>
        <v>2.st. YOUNGER CADET BOYS - Skupina H</v>
      </c>
      <c r="N53" s="23">
        <f>A54</f>
        <v>29</v>
      </c>
      <c r="O53" s="23" t="str">
        <f>IF($N53=0,"bye",VLOOKUP($N53,seznam!$A$2:$C$268,2))</f>
        <v>Jiří Martinko</v>
      </c>
      <c r="P53" s="23" t="str">
        <f>IF($N53=0,"",VLOOKUP($N53,seznam!$A$2:$D$268,4))</f>
        <v>Mittal Ostrava</v>
      </c>
      <c r="Q53" s="23">
        <f>A57</f>
        <v>23</v>
      </c>
      <c r="R53" s="23" t="str">
        <f>IF($Q53=0,"bye",VLOOKUP($Q53,seznam!$A$2:$C$268,2))</f>
        <v>Miko Michal</v>
      </c>
      <c r="S53" s="23" t="str">
        <f>IF($Q53=0,"",VLOOKUP($Q53,seznam!$A$2:$D$268,4))</f>
        <v>Karlova Ves</v>
      </c>
      <c r="T53" s="55" t="s">
        <v>205</v>
      </c>
      <c r="U53" s="56" t="s">
        <v>206</v>
      </c>
      <c r="V53" s="56" t="s">
        <v>210</v>
      </c>
      <c r="W53" s="56"/>
      <c r="X53" s="57"/>
      <c r="Y53" s="23">
        <f aca="true" t="shared" si="69" ref="Y53:Y58">COUNTIF(AH53:AL53,"&gt;0")</f>
        <v>3</v>
      </c>
      <c r="Z53" s="23">
        <f aca="true" t="shared" si="70" ref="Z53:Z58">COUNTIF(AH53:AL53,"&lt;0")</f>
        <v>0</v>
      </c>
      <c r="AA53" s="23">
        <f aca="true" t="shared" si="71" ref="AA53:AA58">IF(Y53=Z53,0,IF(Y53&gt;Z53,N53,Q53))</f>
        <v>29</v>
      </c>
      <c r="AB53" s="23" t="str">
        <f>IF($AA53=0,"",VLOOKUP($AA53,seznam!$A$2:$C$268,2))</f>
        <v>Jiří Martinko</v>
      </c>
      <c r="AC53" s="23" t="str">
        <f aca="true" t="shared" si="72" ref="AC53:AC58">IF(Y53=Z53,"",IF(Y53&gt;Z53,CONCATENATE(Y53,":",Z53," (",T53,",",U53,",",V53,IF(SUM(Y53:Z53)&gt;3,",",""),W53,IF(SUM(Y53:Z53)&gt;4,",",""),X53,")"),CONCATENATE(Z53,":",Y53," (",-T53,",",-U53,",",-V53,IF(SUM(Y53:Z53)&gt;3,CONCATENATE(",",-W53),""),IF(SUM(Y53:Z53)&gt;4,CONCATENATE(",",-X53),""),")")))</f>
        <v>3:0 (1,2,6)</v>
      </c>
      <c r="AD53" s="23" t="str">
        <f aca="true" t="shared" si="73" ref="AD53:AD58">IF(SUM(Y53:Z53)=0,"",AC53)</f>
        <v>3:0 (1,2,6)</v>
      </c>
      <c r="AE53" s="23">
        <f aca="true" t="shared" si="74" ref="AE53:AE58">IF(T53="",0,IF(Y53&gt;Z53,2,1))</f>
        <v>2</v>
      </c>
      <c r="AF53" s="23">
        <f aca="true" t="shared" si="75" ref="AF53:AF58">IF(T53="",0,IF(Z53&gt;Y53,2,1))</f>
        <v>1</v>
      </c>
      <c r="AH53" s="23">
        <f aca="true" t="shared" si="76" ref="AH53:AL58">IF(T53="",0,IF(MID(T53,1,1)="-",-1,1))</f>
        <v>1</v>
      </c>
      <c r="AI53" s="23">
        <f t="shared" si="76"/>
        <v>1</v>
      </c>
      <c r="AJ53" s="23">
        <f t="shared" si="76"/>
        <v>1</v>
      </c>
      <c r="AK53" s="23">
        <f t="shared" si="76"/>
        <v>0</v>
      </c>
      <c r="AL53" s="23">
        <f t="shared" si="76"/>
        <v>0</v>
      </c>
      <c r="AN53" s="23" t="str">
        <f>CONCATENATE("&lt;Table border=1 cellpading=0 cellspacing=0 width=480&gt;&lt;TR&gt;&lt;TH colspan=2&gt;",B53,"&lt;TH&gt;1&lt;TH&gt;2&lt;TH&gt;3&lt;TH&gt;4&lt;TH&gt;Body&lt;TH&gt;Pořadí&lt;/TH&gt;&lt;/TR&gt;")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53" s="23" t="str">
        <f>CONCATENATE("&lt;TR&gt;&lt;TD width=250&gt;",J53,"&lt;TD&gt;",K53,"&lt;/TD&gt;&lt;/TR&gt;")</f>
        <v>&lt;TR&gt;&lt;TD width=250&gt;Jiří Martinko - Miko Michal&lt;TD&gt;3 : 0 (1,2,6)&lt;/TD&gt;&lt;/TR&gt;</v>
      </c>
    </row>
    <row r="54" spans="1:42" ht="16.5" customHeight="1" thickTop="1">
      <c r="A54" s="38">
        <v>29</v>
      </c>
      <c r="B54" s="39" t="str">
        <f>IF($A54="","",CONCATENATE(VLOOKUP($A54,seznam!$A$2:$B$268,2)," (",VLOOKUP($A54,seznam!$A$2:$E$269,4),")"))</f>
        <v>Jiří Martinko (Mittal Ostrava)</v>
      </c>
      <c r="C54" s="40" t="s">
        <v>30</v>
      </c>
      <c r="D54" s="41" t="str">
        <f>IF(Y56+Z56=0,"",CONCATENATE(Y56,":",Z56))</f>
        <v>3:0</v>
      </c>
      <c r="E54" s="41" t="str">
        <f>IF(Y58+Z58=0,"",CONCATENATE(Z58,":",Y58))</f>
        <v>3:0</v>
      </c>
      <c r="F54" s="42" t="str">
        <f>IF(Y53+Z53=0,"",CONCATENATE(Y53,":",Z53))</f>
        <v>3:0</v>
      </c>
      <c r="G54" s="43">
        <f>IF(AE53+AE56+AF58=0,"",AE53+AE56+AF58)</f>
        <v>6</v>
      </c>
      <c r="H54" s="42">
        <v>1</v>
      </c>
      <c r="J54" s="23" t="str">
        <f t="shared" si="67"/>
        <v>Omer Levi - Jalovecký Marek</v>
      </c>
      <c r="K54" s="23" t="str">
        <f t="shared" si="68"/>
        <v>3 : 0 (5,8,9)</v>
      </c>
      <c r="M54" s="23" t="str">
        <f>CONCATENATE("2.st. ",úvod!$C$8," - ",M52)</f>
        <v>2.st. YOUNGER CADET BOYS - Skupina H</v>
      </c>
      <c r="N54" s="23">
        <f>A55</f>
        <v>18</v>
      </c>
      <c r="O54" s="23" t="str">
        <f>IF($N54=0,"bye",VLOOKUP($N54,seznam!$A$2:$C$268,2))</f>
        <v>Omer Levi</v>
      </c>
      <c r="P54" s="23" t="str">
        <f>IF($N54=0,"",VLOOKUP($N54,seznam!$A$2:$D$268,4))</f>
        <v>Israel </v>
      </c>
      <c r="Q54" s="23">
        <f>A56</f>
        <v>61</v>
      </c>
      <c r="R54" s="23" t="str">
        <f>IF($Q54=0,"bye",VLOOKUP($Q54,seznam!$A$2:$C$268,2))</f>
        <v>Jalovecký Marek</v>
      </c>
      <c r="S54" s="23" t="str">
        <f>IF($Q54=0,"",VLOOKUP($Q54,seznam!$A$2:$D$268,4))</f>
        <v>STK Pezinok</v>
      </c>
      <c r="T54" s="58" t="s">
        <v>211</v>
      </c>
      <c r="U54" s="59" t="s">
        <v>208</v>
      </c>
      <c r="V54" s="59" t="s">
        <v>213</v>
      </c>
      <c r="W54" s="59"/>
      <c r="X54" s="60"/>
      <c r="Y54" s="23">
        <f t="shared" si="69"/>
        <v>3</v>
      </c>
      <c r="Z54" s="23">
        <f t="shared" si="70"/>
        <v>0</v>
      </c>
      <c r="AA54" s="23">
        <f t="shared" si="71"/>
        <v>18</v>
      </c>
      <c r="AB54" s="23" t="str">
        <f>IF($AA54=0,"",VLOOKUP($AA54,seznam!$A$2:$C$268,2))</f>
        <v>Omer Levi</v>
      </c>
      <c r="AC54" s="23" t="str">
        <f t="shared" si="72"/>
        <v>3:0 (5,8,9)</v>
      </c>
      <c r="AD54" s="23" t="str">
        <f t="shared" si="73"/>
        <v>3:0 (5,8,9)</v>
      </c>
      <c r="AE54" s="23">
        <f t="shared" si="74"/>
        <v>2</v>
      </c>
      <c r="AF54" s="23">
        <f t="shared" si="75"/>
        <v>1</v>
      </c>
      <c r="AH54" s="23">
        <f t="shared" si="76"/>
        <v>1</v>
      </c>
      <c r="AI54" s="23">
        <f t="shared" si="76"/>
        <v>1</v>
      </c>
      <c r="AJ54" s="23">
        <f t="shared" si="76"/>
        <v>1</v>
      </c>
      <c r="AK54" s="23">
        <f t="shared" si="76"/>
        <v>0</v>
      </c>
      <c r="AL54" s="23">
        <f t="shared" si="76"/>
        <v>0</v>
      </c>
      <c r="AN54" s="23" t="str">
        <f>CONCATENATE(AO54,AO55,AO56,AO57,)</f>
        <v>&lt;TR&gt;&lt;TD&gt;29&lt;TD width=200&gt;Jiří Martinko (Mittal Ostrava)&lt;TD&gt;XXX&lt;TD&gt;3:0&lt;TD&gt;3:0&lt;TD&gt;3:0&lt;TD&gt;6&lt;TD&gt;1&lt;/TD&gt;&lt;/TR&gt;&lt;TR&gt;&lt;TD&gt;18&lt;TD width=200&gt;Omer Levi (Israel )&lt;TD&gt;0:3&lt;TD&gt;XXX&lt;TD&gt;3:0&lt;TD&gt;3:0&lt;TD&gt;5&lt;TD&gt;2&lt;/TD&gt;&lt;/TR&gt;&lt;TR&gt;&lt;TD&gt;61&lt;TD width=200&gt;Jalovecký Marek (STK Pezinok)&lt;TD&gt;0:3&lt;TD&gt;0:3&lt;TD&gt;XXX&lt;TD&gt;3:1&lt;TD&gt;4&lt;TD&gt;3&lt;/TD&gt;&lt;/TR&gt;&lt;TR&gt;&lt;TD&gt;23&lt;TD width=200&gt;Miko Michal (Karlova Ves)&lt;TD&gt;0:3&lt;TD&gt;0:3&lt;TD&gt;1:3&lt;TD&gt;XXX&lt;TD&gt;3&lt;TD&gt;4&lt;/TD&gt;&lt;/TR&gt;</v>
      </c>
      <c r="AO54" s="23" t="str">
        <f>CONCATENATE("&lt;TR&gt;&lt;TD&gt;",A54,"&lt;TD width=200&gt;",B54,"&lt;TD&gt;",C54,"&lt;TD&gt;",D54,"&lt;TD&gt;",E54,"&lt;TD&gt;",F54,"&lt;TD&gt;",G54,"&lt;TD&gt;",H54,"&lt;/TD&gt;&lt;/TR&gt;")</f>
        <v>&lt;TR&gt;&lt;TD&gt;29&lt;TD width=200&gt;Jiří Martinko (Mittal Ostrava)&lt;TD&gt;XXX&lt;TD&gt;3:0&lt;TD&gt;3:0&lt;TD&gt;3:0&lt;TD&gt;6&lt;TD&gt;1&lt;/TD&gt;&lt;/TR&gt;</v>
      </c>
      <c r="AP54" s="23" t="str">
        <f>CONCATENATE("&lt;TR&gt;&lt;TD&gt;",J54,"&lt;TD&gt;",K54,"&lt;/TD&gt;&lt;/TR&gt;")</f>
        <v>&lt;TR&gt;&lt;TD&gt;Omer Levi - Jalovecký Marek&lt;TD&gt;3 : 0 (5,8,9)&lt;/TD&gt;&lt;/TR&gt;</v>
      </c>
    </row>
    <row r="55" spans="1:42" ht="16.5" customHeight="1">
      <c r="A55" s="26">
        <v>18</v>
      </c>
      <c r="B55" s="32" t="str">
        <f>IF($A55="","",CONCATENATE(VLOOKUP($A55,seznam!$A$2:$B$268,2)," (",VLOOKUP($A55,seznam!$A$2:$E$269,4),")"))</f>
        <v>Omer Levi (Israel )</v>
      </c>
      <c r="C55" s="36" t="str">
        <f>IF(Y56+Z56=0,"",CONCATENATE(Z56,":",Y56))</f>
        <v>0:3</v>
      </c>
      <c r="D55" s="27" t="s">
        <v>30</v>
      </c>
      <c r="E55" s="27" t="str">
        <f>IF(Y54+Z54=0,"",CONCATENATE(Y54,":",Z54))</f>
        <v>3:0</v>
      </c>
      <c r="F55" s="28" t="str">
        <f>IF(Y57+Z57=0,"",CONCATENATE(Y57,":",Z57))</f>
        <v>3:0</v>
      </c>
      <c r="G55" s="34">
        <f>IF(AE54+AF56+AE57=0,"",AE54+AF56+AE57)</f>
        <v>5</v>
      </c>
      <c r="H55" s="28">
        <v>2</v>
      </c>
      <c r="J55" s="23" t="str">
        <f t="shared" si="67"/>
        <v>Miko Michal - Jalovecký Marek</v>
      </c>
      <c r="K55" s="23" t="str">
        <f t="shared" si="68"/>
        <v>1 : 3 (-9,9,-10,-8)</v>
      </c>
      <c r="M55" s="23" t="str">
        <f>CONCATENATE("2.st. ",úvod!$C$8," - ",M52)</f>
        <v>2.st. YOUNGER CADET BOYS - Skupina H</v>
      </c>
      <c r="N55" s="23">
        <f>A57</f>
        <v>23</v>
      </c>
      <c r="O55" s="23" t="str">
        <f>IF($N55=0,"bye",VLOOKUP($N55,seznam!$A$2:$C$268,2))</f>
        <v>Miko Michal</v>
      </c>
      <c r="P55" s="23" t="str">
        <f>IF($N55=0,"",VLOOKUP($N55,seznam!$A$2:$D$268,4))</f>
        <v>Karlova Ves</v>
      </c>
      <c r="Q55" s="23">
        <f>A56</f>
        <v>61</v>
      </c>
      <c r="R55" s="23" t="str">
        <f>IF($Q55=0,"bye",VLOOKUP($Q55,seznam!$A$2:$C$268,2))</f>
        <v>Jalovecký Marek</v>
      </c>
      <c r="S55" s="23" t="str">
        <f>IF($Q55=0,"",VLOOKUP($Q55,seznam!$A$2:$D$268,4))</f>
        <v>STK Pezinok</v>
      </c>
      <c r="T55" s="58" t="s">
        <v>207</v>
      </c>
      <c r="U55" s="59" t="s">
        <v>213</v>
      </c>
      <c r="V55" s="59" t="s">
        <v>214</v>
      </c>
      <c r="W55" s="59" t="s">
        <v>215</v>
      </c>
      <c r="X55" s="60"/>
      <c r="Y55" s="23">
        <f t="shared" si="69"/>
        <v>1</v>
      </c>
      <c r="Z55" s="23">
        <f t="shared" si="70"/>
        <v>3</v>
      </c>
      <c r="AA55" s="23">
        <f t="shared" si="71"/>
        <v>61</v>
      </c>
      <c r="AB55" s="23" t="str">
        <f>IF($AA55=0,"",VLOOKUP($AA55,seznam!$A$2:$C$268,2))</f>
        <v>Jalovecký Marek</v>
      </c>
      <c r="AC55" s="23" t="str">
        <f t="shared" si="72"/>
        <v>3:1 (9,-9,10,8)</v>
      </c>
      <c r="AD55" s="23" t="str">
        <f t="shared" si="73"/>
        <v>3:1 (9,-9,10,8)</v>
      </c>
      <c r="AE55" s="23">
        <f t="shared" si="74"/>
        <v>1</v>
      </c>
      <c r="AF55" s="23">
        <f t="shared" si="75"/>
        <v>2</v>
      </c>
      <c r="AH55" s="23">
        <f t="shared" si="76"/>
        <v>-1</v>
      </c>
      <c r="AI55" s="23">
        <f t="shared" si="76"/>
        <v>1</v>
      </c>
      <c r="AJ55" s="23">
        <f t="shared" si="76"/>
        <v>-1</v>
      </c>
      <c r="AK55" s="23">
        <f t="shared" si="76"/>
        <v>-1</v>
      </c>
      <c r="AL55" s="23">
        <f t="shared" si="76"/>
        <v>0</v>
      </c>
      <c r="AN55" s="23" t="str">
        <f>CONCATENATE("&lt;/Table&gt;&lt;TD width=420&gt;&lt;Table&gt;")</f>
        <v>&lt;/Table&gt;&lt;TD width=420&gt;&lt;Table&gt;</v>
      </c>
      <c r="AO55" s="23" t="str">
        <f>CONCATENATE("&lt;TR&gt;&lt;TD&gt;",A55,"&lt;TD width=200&gt;",B55,"&lt;TD&gt;",C55,"&lt;TD&gt;",D55,"&lt;TD&gt;",E55,"&lt;TD&gt;",F55,"&lt;TD&gt;",G55,"&lt;TD&gt;",H55,"&lt;/TD&gt;&lt;/TR&gt;")</f>
        <v>&lt;TR&gt;&lt;TD&gt;18&lt;TD width=200&gt;Omer Levi (Israel )&lt;TD&gt;0:3&lt;TD&gt;XXX&lt;TD&gt;3:0&lt;TD&gt;3:0&lt;TD&gt;5&lt;TD&gt;2&lt;/TD&gt;&lt;/TR&gt;</v>
      </c>
      <c r="AP55" s="23" t="str">
        <f>CONCATENATE("&lt;TR&gt;&lt;TD&gt;",J55,"&lt;TD&gt;",K55,"&lt;/TD&gt;&lt;/TR&gt;")</f>
        <v>&lt;TR&gt;&lt;TD&gt;Miko Michal - Jalovecký Marek&lt;TD&gt;1 : 3 (-9,9,-10,-8)&lt;/TD&gt;&lt;/TR&gt;</v>
      </c>
    </row>
    <row r="56" spans="1:42" ht="16.5" customHeight="1">
      <c r="A56" s="26">
        <v>61</v>
      </c>
      <c r="B56" s="32" t="str">
        <f>IF($A56="","",CONCATENATE(VLOOKUP($A56,seznam!$A$2:$B$268,2)," (",VLOOKUP($A56,seznam!$A$2:$E$269,4),")"))</f>
        <v>Jalovecký Marek (STK Pezinok)</v>
      </c>
      <c r="C56" s="36" t="str">
        <f>IF(Y58+Z58=0,"",CONCATENATE(Y58,":",Z58))</f>
        <v>0:3</v>
      </c>
      <c r="D56" s="27" t="str">
        <f>IF(Y54+Z54=0,"",CONCATENATE(Z54,":",Y54))</f>
        <v>0:3</v>
      </c>
      <c r="E56" s="27" t="s">
        <v>30</v>
      </c>
      <c r="F56" s="28" t="str">
        <f>IF(Y55+Z55=0,"",CONCATENATE(Z55,":",Y55))</f>
        <v>3:1</v>
      </c>
      <c r="G56" s="34">
        <f>IF(AF54+AF55+AE58=0,"",AF54+AF55+AE58)</f>
        <v>4</v>
      </c>
      <c r="H56" s="28">
        <v>3</v>
      </c>
      <c r="J56" s="23" t="str">
        <f t="shared" si="67"/>
        <v>Jiří Martinko - Omer Levi</v>
      </c>
      <c r="K56" s="23" t="str">
        <f t="shared" si="68"/>
        <v>3 : 0 (4,1,6)</v>
      </c>
      <c r="M56" s="23" t="str">
        <f>CONCATENATE("2.st. ",úvod!$C$8," - ",M52)</f>
        <v>2.st. YOUNGER CADET BOYS - Skupina H</v>
      </c>
      <c r="N56" s="23">
        <f>A54</f>
        <v>29</v>
      </c>
      <c r="O56" s="23" t="str">
        <f>IF($N56=0,"bye",VLOOKUP($N56,seznam!$A$2:$C$268,2))</f>
        <v>Jiří Martinko</v>
      </c>
      <c r="P56" s="23" t="str">
        <f>IF($N56=0,"",VLOOKUP($N56,seznam!$A$2:$D$268,4))</f>
        <v>Mittal Ostrava</v>
      </c>
      <c r="Q56" s="23">
        <f>A55</f>
        <v>18</v>
      </c>
      <c r="R56" s="23" t="str">
        <f>IF($Q56=0,"bye",VLOOKUP($Q56,seznam!$A$2:$C$268,2))</f>
        <v>Omer Levi</v>
      </c>
      <c r="S56" s="23" t="str">
        <f>IF($Q56=0,"",VLOOKUP($Q56,seznam!$A$2:$D$268,4))</f>
        <v>Israel </v>
      </c>
      <c r="T56" s="58" t="s">
        <v>220</v>
      </c>
      <c r="U56" s="59" t="s">
        <v>205</v>
      </c>
      <c r="V56" s="59" t="s">
        <v>210</v>
      </c>
      <c r="W56" s="59"/>
      <c r="X56" s="60"/>
      <c r="Y56" s="23">
        <f t="shared" si="69"/>
        <v>3</v>
      </c>
      <c r="Z56" s="23">
        <f t="shared" si="70"/>
        <v>0</v>
      </c>
      <c r="AA56" s="23">
        <f t="shared" si="71"/>
        <v>29</v>
      </c>
      <c r="AB56" s="23" t="str">
        <f>IF($AA56=0,"",VLOOKUP($AA56,seznam!$A$2:$C$268,2))</f>
        <v>Jiří Martinko</v>
      </c>
      <c r="AC56" s="23" t="str">
        <f t="shared" si="72"/>
        <v>3:0 (4,1,6)</v>
      </c>
      <c r="AD56" s="23" t="str">
        <f t="shared" si="73"/>
        <v>3:0 (4,1,6)</v>
      </c>
      <c r="AE56" s="23">
        <f t="shared" si="74"/>
        <v>2</v>
      </c>
      <c r="AF56" s="23">
        <f t="shared" si="75"/>
        <v>1</v>
      </c>
      <c r="AH56" s="23">
        <f t="shared" si="76"/>
        <v>1</v>
      </c>
      <c r="AI56" s="23">
        <f t="shared" si="76"/>
        <v>1</v>
      </c>
      <c r="AJ56" s="23">
        <f t="shared" si="76"/>
        <v>1</v>
      </c>
      <c r="AK56" s="23">
        <f t="shared" si="76"/>
        <v>0</v>
      </c>
      <c r="AL56" s="23">
        <f t="shared" si="76"/>
        <v>0</v>
      </c>
      <c r="AN56" s="23" t="str">
        <f>CONCATENATE(AP53,AP54,AP55,AP56,AP57,AP58,)</f>
        <v>&lt;TR&gt;&lt;TD width=250&gt;Jiří Martinko - Miko Michal&lt;TD&gt;3 : 0 (1,2,6)&lt;/TD&gt;&lt;/TR&gt;&lt;TR&gt;&lt;TD&gt;Omer Levi - Jalovecký Marek&lt;TD&gt;3 : 0 (5,8,9)&lt;/TD&gt;&lt;/TR&gt;&lt;TR&gt;&lt;TD&gt;Miko Michal - Jalovecký Marek&lt;TD&gt;1 : 3 (-9,9,-10,-8)&lt;/TD&gt;&lt;/TR&gt;&lt;TR&gt;&lt;TD&gt;Jiří Martinko - Omer Levi&lt;TD&gt;3 : 0 (4,1,6)&lt;/TD&gt;&lt;/TR&gt;&lt;TR&gt;&lt;TD&gt;Omer Levi - Miko Michal&lt;TD&gt;3 : 0 (7,6,6)&lt;/TD&gt;&lt;/TR&gt;&lt;TR&gt;&lt;TD&gt;Jalovecký Marek - Jiří Martinko&lt;TD&gt;0 : 3 (-3,-2,-3)&lt;/TD&gt;&lt;/TR&gt;</v>
      </c>
      <c r="AO56" s="23" t="str">
        <f>CONCATENATE("&lt;TR&gt;&lt;TD&gt;",A56,"&lt;TD width=200&gt;",B56,"&lt;TD&gt;",C56,"&lt;TD&gt;",D56,"&lt;TD&gt;",E56,"&lt;TD&gt;",F56,"&lt;TD&gt;",G56,"&lt;TD&gt;",H56,"&lt;/TD&gt;&lt;/TR&gt;")</f>
        <v>&lt;TR&gt;&lt;TD&gt;61&lt;TD width=200&gt;Jalovecký Marek (STK Pezinok)&lt;TD&gt;0:3&lt;TD&gt;0:3&lt;TD&gt;XXX&lt;TD&gt;3:1&lt;TD&gt;4&lt;TD&gt;3&lt;/TD&gt;&lt;/TR&gt;</v>
      </c>
      <c r="AP56" s="23" t="str">
        <f>CONCATENATE("&lt;TR&gt;&lt;TD&gt;",J56,"&lt;TD&gt;",K56,"&lt;/TD&gt;&lt;/TR&gt;")</f>
        <v>&lt;TR&gt;&lt;TD&gt;Jiří Martinko - Omer Levi&lt;TD&gt;3 : 0 (4,1,6)&lt;/TD&gt;&lt;/TR&gt;</v>
      </c>
    </row>
    <row r="57" spans="1:42" ht="16.5" customHeight="1" thickBot="1">
      <c r="A57" s="29">
        <v>23</v>
      </c>
      <c r="B57" s="33" t="str">
        <f>IF($A57="","",CONCATENATE(VLOOKUP($A57,seznam!$A$2:$B$268,2)," (",VLOOKUP($A57,seznam!$A$2:$E$269,4),")"))</f>
        <v>Miko Michal (Karlova Ves)</v>
      </c>
      <c r="C57" s="37" t="str">
        <f>IF(Y53+Z53=0,"",CONCATENATE(Z53,":",Y53))</f>
        <v>0:3</v>
      </c>
      <c r="D57" s="30" t="str">
        <f>IF(Y57+Z57=0,"",CONCATENATE(Z57,":",Y57))</f>
        <v>0:3</v>
      </c>
      <c r="E57" s="30" t="str">
        <f>IF(Y55+Z55=0,"",CONCATENATE(Y55,":",Z55))</f>
        <v>1:3</v>
      </c>
      <c r="F57" s="31" t="s">
        <v>30</v>
      </c>
      <c r="G57" s="35">
        <f>IF(AF53+AE55+AF57=0,"",AF53+AE55+AF57)</f>
        <v>3</v>
      </c>
      <c r="H57" s="31">
        <v>4</v>
      </c>
      <c r="J57" s="23" t="str">
        <f t="shared" si="67"/>
        <v>Omer Levi - Miko Michal</v>
      </c>
      <c r="K57" s="23" t="str">
        <f t="shared" si="68"/>
        <v>3 : 0 (7,6,6)</v>
      </c>
      <c r="M57" s="23" t="str">
        <f>CONCATENATE("2.st. ",úvod!$C$8," - ",M52)</f>
        <v>2.st. YOUNGER CADET BOYS - Skupina H</v>
      </c>
      <c r="N57" s="23">
        <f>A55</f>
        <v>18</v>
      </c>
      <c r="O57" s="23" t="str">
        <f>IF($N57=0,"bye",VLOOKUP($N57,seznam!$A$2:$C$268,2))</f>
        <v>Omer Levi</v>
      </c>
      <c r="P57" s="23" t="str">
        <f>IF($N57=0,"",VLOOKUP($N57,seznam!$A$2:$D$268,4))</f>
        <v>Israel </v>
      </c>
      <c r="Q57" s="23">
        <f>A57</f>
        <v>23</v>
      </c>
      <c r="R57" s="23" t="str">
        <f>IF($Q57=0,"bye",VLOOKUP($Q57,seznam!$A$2:$C$268,2))</f>
        <v>Miko Michal</v>
      </c>
      <c r="S57" s="23" t="str">
        <f>IF($Q57=0,"",VLOOKUP($Q57,seznam!$A$2:$D$268,4))</f>
        <v>Karlova Ves</v>
      </c>
      <c r="T57" s="58" t="s">
        <v>209</v>
      </c>
      <c r="U57" s="59" t="s">
        <v>210</v>
      </c>
      <c r="V57" s="59" t="s">
        <v>210</v>
      </c>
      <c r="W57" s="59"/>
      <c r="X57" s="60"/>
      <c r="Y57" s="23">
        <f t="shared" si="69"/>
        <v>3</v>
      </c>
      <c r="Z57" s="23">
        <f t="shared" si="70"/>
        <v>0</v>
      </c>
      <c r="AA57" s="23">
        <f t="shared" si="71"/>
        <v>18</v>
      </c>
      <c r="AB57" s="23" t="str">
        <f>IF($AA57=0,"",VLOOKUP($AA57,seznam!$A$2:$C$268,2))</f>
        <v>Omer Levi</v>
      </c>
      <c r="AC57" s="23" t="str">
        <f t="shared" si="72"/>
        <v>3:0 (7,6,6)</v>
      </c>
      <c r="AD57" s="23" t="str">
        <f t="shared" si="73"/>
        <v>3:0 (7,6,6)</v>
      </c>
      <c r="AE57" s="23">
        <f t="shared" si="74"/>
        <v>2</v>
      </c>
      <c r="AF57" s="23">
        <f t="shared" si="75"/>
        <v>1</v>
      </c>
      <c r="AH57" s="23">
        <f t="shared" si="76"/>
        <v>1</v>
      </c>
      <c r="AI57" s="23">
        <f t="shared" si="76"/>
        <v>1</v>
      </c>
      <c r="AJ57" s="23">
        <f t="shared" si="76"/>
        <v>1</v>
      </c>
      <c r="AK57" s="23">
        <f t="shared" si="76"/>
        <v>0</v>
      </c>
      <c r="AL57" s="23">
        <f t="shared" si="76"/>
        <v>0</v>
      </c>
      <c r="AN57" s="23" t="str">
        <f>CONCATENATE("&lt;/Table&gt;&lt;/TD&gt;&lt;/TR&gt;&lt;/Table&gt;&lt;P&gt;")</f>
        <v>&lt;/Table&gt;&lt;/TD&gt;&lt;/TR&gt;&lt;/Table&gt;&lt;P&gt;</v>
      </c>
      <c r="AO57" s="23" t="str">
        <f>CONCATENATE("&lt;TR&gt;&lt;TD&gt;",A57,"&lt;TD width=200&gt;",B57,"&lt;TD&gt;",C57,"&lt;TD&gt;",D57,"&lt;TD&gt;",E57,"&lt;TD&gt;",F57,"&lt;TD&gt;",G57,"&lt;TD&gt;",H57,"&lt;/TD&gt;&lt;/TR&gt;")</f>
        <v>&lt;TR&gt;&lt;TD&gt;23&lt;TD width=200&gt;Miko Michal (Karlova Ves)&lt;TD&gt;0:3&lt;TD&gt;0:3&lt;TD&gt;1:3&lt;TD&gt;XXX&lt;TD&gt;3&lt;TD&gt;4&lt;/TD&gt;&lt;/TR&gt;</v>
      </c>
      <c r="AP57" s="23" t="str">
        <f>CONCATENATE("&lt;TR&gt;&lt;TD&gt;",J57,"&lt;TD&gt;",K57,"&lt;/TD&gt;&lt;/TR&gt;")</f>
        <v>&lt;TR&gt;&lt;TD&gt;Omer Levi - Miko Michal&lt;TD&gt;3 : 0 (7,6,6)&lt;/TD&gt;&lt;/TR&gt;</v>
      </c>
    </row>
    <row r="58" spans="10:42" ht="16.5" customHeight="1" thickBot="1" thickTop="1">
      <c r="J58" s="23" t="str">
        <f t="shared" si="67"/>
        <v>Jalovecký Marek - Jiří Martinko</v>
      </c>
      <c r="K58" s="23" t="str">
        <f t="shared" si="68"/>
        <v>0 : 3 (-3,-2,-3)</v>
      </c>
      <c r="M58" s="23" t="str">
        <f>CONCATENATE("2.st. ",úvod!$C$8," - ",M52)</f>
        <v>2.st. YOUNGER CADET BOYS - Skupina H</v>
      </c>
      <c r="N58" s="23">
        <f>A56</f>
        <v>61</v>
      </c>
      <c r="O58" s="23" t="str">
        <f>IF($N58=0,"bye",VLOOKUP($N58,seznam!$A$2:$C$268,2))</f>
        <v>Jalovecký Marek</v>
      </c>
      <c r="P58" s="23" t="str">
        <f>IF($N58=0,"",VLOOKUP($N58,seznam!$A$2:$D$268,4))</f>
        <v>STK Pezinok</v>
      </c>
      <c r="Q58" s="23">
        <f>A54</f>
        <v>29</v>
      </c>
      <c r="R58" s="23" t="str">
        <f>IF($Q58=0,"bye",VLOOKUP($Q58,seznam!$A$2:$C$268,2))</f>
        <v>Jiří Martinko</v>
      </c>
      <c r="S58" s="23" t="str">
        <f>IF($Q58=0,"",VLOOKUP($Q58,seznam!$A$2:$D$268,4))</f>
        <v>Mittal Ostrava</v>
      </c>
      <c r="T58" s="61" t="s">
        <v>228</v>
      </c>
      <c r="U58" s="62" t="s">
        <v>229</v>
      </c>
      <c r="V58" s="62" t="s">
        <v>228</v>
      </c>
      <c r="W58" s="62"/>
      <c r="X58" s="63"/>
      <c r="Y58" s="23">
        <f t="shared" si="69"/>
        <v>0</v>
      </c>
      <c r="Z58" s="23">
        <f t="shared" si="70"/>
        <v>3</v>
      </c>
      <c r="AA58" s="23">
        <f t="shared" si="71"/>
        <v>29</v>
      </c>
      <c r="AB58" s="23" t="str">
        <f>IF($AA58=0,"",VLOOKUP($AA58,seznam!$A$2:$C$268,2))</f>
        <v>Jiří Martinko</v>
      </c>
      <c r="AC58" s="23" t="str">
        <f t="shared" si="72"/>
        <v>3:0 (3,2,3)</v>
      </c>
      <c r="AD58" s="23" t="str">
        <f t="shared" si="73"/>
        <v>3:0 (3,2,3)</v>
      </c>
      <c r="AE58" s="23">
        <f t="shared" si="74"/>
        <v>1</v>
      </c>
      <c r="AF58" s="23">
        <f t="shared" si="75"/>
        <v>2</v>
      </c>
      <c r="AH58" s="23">
        <f t="shared" si="76"/>
        <v>-1</v>
      </c>
      <c r="AI58" s="23">
        <f t="shared" si="76"/>
        <v>-1</v>
      </c>
      <c r="AJ58" s="23">
        <f t="shared" si="76"/>
        <v>-1</v>
      </c>
      <c r="AK58" s="23">
        <f t="shared" si="76"/>
        <v>0</v>
      </c>
      <c r="AL58" s="23">
        <f t="shared" si="76"/>
        <v>0</v>
      </c>
      <c r="AP58" s="23" t="str">
        <f>CONCATENATE("&lt;TR&gt;&lt;TD&gt;",J58,"&lt;TD&gt;",K58,"&lt;/TD&gt;&lt;/TR&gt;")</f>
        <v>&lt;TR&gt;&lt;TD&gt;Jalovecký Marek - Jiří Martinko&lt;TD&gt;0 : 3 (-3,-2,-3)&lt;/TD&gt;&lt;/TR&gt;</v>
      </c>
    </row>
    <row r="59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view="pageBreakPreview" zoomScaleSheetLayoutView="100" zoomScalePageLayoutView="0" workbookViewId="0" topLeftCell="A40">
      <selection activeCell="K46" sqref="K46"/>
    </sheetView>
  </sheetViews>
  <sheetFormatPr defaultColWidth="9.00390625" defaultRowHeight="15" customHeight="1"/>
  <cols>
    <col min="1" max="1" width="3.375" style="23" customWidth="1"/>
    <col min="2" max="2" width="31.125" style="23" bestFit="1" customWidth="1"/>
    <col min="3" max="8" width="5.00390625" style="23" customWidth="1"/>
    <col min="9" max="9" width="1.625" style="23" customWidth="1"/>
    <col min="10" max="10" width="30.875" style="23" bestFit="1" customWidth="1"/>
    <col min="11" max="11" width="18.75390625" style="23" bestFit="1" customWidth="1"/>
    <col min="12" max="12" width="4.375" style="23" customWidth="1"/>
    <col min="13" max="13" width="24.125" style="23" bestFit="1" customWidth="1"/>
    <col min="14" max="14" width="5.25390625" style="23" bestFit="1" customWidth="1"/>
    <col min="15" max="15" width="14.375" style="23" bestFit="1" customWidth="1"/>
    <col min="16" max="16" width="3.75390625" style="23" customWidth="1"/>
    <col min="17" max="17" width="4.75390625" style="23" bestFit="1" customWidth="1"/>
    <col min="18" max="18" width="14.375" style="23" bestFit="1" customWidth="1"/>
    <col min="19" max="19" width="2.875" style="23" customWidth="1"/>
    <col min="20" max="24" width="5.00390625" style="23" bestFit="1" customWidth="1"/>
    <col min="25" max="26" width="5.125" style="23" customWidth="1"/>
    <col min="27" max="27" width="5.625" style="23" bestFit="1" customWidth="1"/>
    <col min="28" max="28" width="4.375" style="23" customWidth="1"/>
    <col min="29" max="29" width="8.125" style="23" bestFit="1" customWidth="1"/>
    <col min="30" max="30" width="3.375" style="23" customWidth="1"/>
    <col min="31" max="32" width="3.125" style="23" customWidth="1"/>
    <col min="33" max="33" width="1.875" style="23" customWidth="1"/>
    <col min="34" max="38" width="3.125" style="23" customWidth="1"/>
    <col min="39" max="39" width="3.00390625" style="23" customWidth="1"/>
    <col min="40" max="42" width="0" style="23" hidden="1" customWidth="1"/>
    <col min="43" max="16384" width="9.125" style="23" customWidth="1"/>
  </cols>
  <sheetData>
    <row r="1" spans="1:7" ht="20.25">
      <c r="A1" s="3" t="str">
        <f>úvod!C6</f>
        <v>Satellite Youth Table Tennis Tournament</v>
      </c>
      <c r="B1" s="2"/>
      <c r="C1" s="2"/>
      <c r="D1" s="2"/>
      <c r="E1" s="2"/>
      <c r="F1" s="2"/>
      <c r="G1" s="2"/>
    </row>
    <row r="2" spans="1:11" ht="20.25">
      <c r="A2" s="4" t="s">
        <v>82</v>
      </c>
      <c r="B2" s="2"/>
      <c r="C2" s="2"/>
      <c r="D2" s="2"/>
      <c r="E2" s="2"/>
      <c r="F2" s="2"/>
      <c r="G2" s="20"/>
      <c r="K2" s="20" t="str">
        <f>CONCATENATE("Dvouhra ",úvod!C8," - 2.stupeň")</f>
        <v>Dvouhra YOUNGER CADET BOYS - 2.stupeň</v>
      </c>
    </row>
    <row r="3" spans="1:40" ht="15" customHeight="1" thickBot="1">
      <c r="A3" s="2"/>
      <c r="B3" s="2"/>
      <c r="C3" s="4"/>
      <c r="D3" s="2"/>
      <c r="E3" s="2"/>
      <c r="F3" s="2"/>
      <c r="G3" s="15"/>
      <c r="K3" s="73" t="str">
        <f>úvod!C7</f>
        <v>15.8. 2011</v>
      </c>
      <c r="M3" s="24" t="str">
        <f>B4</f>
        <v>Skupina I</v>
      </c>
      <c r="N3" s="24" t="s">
        <v>0</v>
      </c>
      <c r="O3" s="24" t="s">
        <v>1</v>
      </c>
      <c r="P3" s="24" t="s">
        <v>2</v>
      </c>
      <c r="Q3" s="24" t="s">
        <v>0</v>
      </c>
      <c r="R3" s="24" t="s">
        <v>3</v>
      </c>
      <c r="S3" s="24" t="s">
        <v>2</v>
      </c>
      <c r="T3" s="25" t="s">
        <v>4</v>
      </c>
      <c r="U3" s="25" t="s">
        <v>5</v>
      </c>
      <c r="V3" s="25" t="s">
        <v>6</v>
      </c>
      <c r="W3" s="25" t="s">
        <v>7</v>
      </c>
      <c r="X3" s="25" t="s">
        <v>8</v>
      </c>
      <c r="Y3" s="24" t="s">
        <v>9</v>
      </c>
      <c r="Z3" s="24" t="s">
        <v>10</v>
      </c>
      <c r="AA3" s="24" t="s">
        <v>11</v>
      </c>
      <c r="AN3" s="23" t="s">
        <v>16</v>
      </c>
    </row>
    <row r="4" spans="1:42" ht="16.5" customHeight="1" thickBot="1" thickTop="1">
      <c r="A4" s="44"/>
      <c r="B4" s="45" t="s">
        <v>194</v>
      </c>
      <c r="C4" s="46">
        <v>1</v>
      </c>
      <c r="D4" s="47">
        <v>2</v>
      </c>
      <c r="E4" s="47">
        <v>3</v>
      </c>
      <c r="F4" s="48">
        <v>4</v>
      </c>
      <c r="G4" s="49" t="s">
        <v>14</v>
      </c>
      <c r="H4" s="48" t="s">
        <v>15</v>
      </c>
      <c r="J4" s="23" t="str">
        <f aca="true" t="shared" si="0" ref="J4:J9">CONCATENATE(O4," - ",R4)</f>
        <v>Gottschalk Florian - Cyprich Samuel</v>
      </c>
      <c r="K4" s="23" t="str">
        <f aca="true" t="shared" si="1" ref="K4:K9">IF(SUM(Y4:Z4)=0,AD4,CONCATENATE(Y4," : ",Z4," (",T4,",",U4,",",V4,IF(Y4+Z4&gt;3,",",""),W4,IF(Y4+Z4&gt;4,",",""),X4,")"))</f>
        <v>3 : 1 (4,5,-11,6)</v>
      </c>
      <c r="M4" s="23" t="str">
        <f>CONCATENATE("2.st. ",úvod!$C$8," - ",M3)</f>
        <v>2.st. YOUNGER CADET BOYS - Skupina I</v>
      </c>
      <c r="N4" s="23">
        <f>A5</f>
        <v>4</v>
      </c>
      <c r="O4" s="23" t="str">
        <f>IF($N4=0,"bye",VLOOKUP($N4,seznam!$A$2:$C$268,2))</f>
        <v>Gottschalk Florian</v>
      </c>
      <c r="P4" s="23" t="str">
        <f>IF($N4=0,"",VLOOKUP($N4,seznam!$A$2:$D$268,4))</f>
        <v>Berliner (GER)</v>
      </c>
      <c r="Q4" s="23">
        <f>A8</f>
        <v>32</v>
      </c>
      <c r="R4" s="23" t="str">
        <f>IF($Q4=0,"bye",VLOOKUP($Q4,seznam!$A$2:$C$268,2))</f>
        <v>Cyprich Samuel</v>
      </c>
      <c r="S4" s="23" t="str">
        <f>IF($Q4=0,"",VLOOKUP($Q4,seznam!$A$2:$D$268,4))</f>
        <v>MSK Čadca</v>
      </c>
      <c r="T4" s="55" t="s">
        <v>220</v>
      </c>
      <c r="U4" s="56" t="s">
        <v>211</v>
      </c>
      <c r="V4" s="56" t="s">
        <v>223</v>
      </c>
      <c r="W4" s="56" t="s">
        <v>210</v>
      </c>
      <c r="X4" s="57"/>
      <c r="Y4" s="23">
        <f>COUNTIF(AH4:AL4,"&gt;0")</f>
        <v>3</v>
      </c>
      <c r="Z4" s="23">
        <f>COUNTIF(AH4:AL4,"&lt;0")</f>
        <v>1</v>
      </c>
      <c r="AA4" s="23">
        <f aca="true" t="shared" si="2" ref="AA4:AA9">IF(Y4=Z4,0,IF(Y4&gt;Z4,N4,Q4))</f>
        <v>4</v>
      </c>
      <c r="AB4" s="23" t="str">
        <f>IF($AA4=0,"",VLOOKUP($AA4,seznam!$A$2:$C$268,2))</f>
        <v>Gottschalk Florian</v>
      </c>
      <c r="AC4" s="23" t="str">
        <f aca="true" t="shared" si="3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  <v>3:1 (4,5,-11,6)</v>
      </c>
      <c r="AD4" s="23" t="str">
        <f aca="true" t="shared" si="4" ref="AD4:AD9">IF(SUM(Y4:Z4)=0,"",AC4)</f>
        <v>3:1 (4,5,-11,6)</v>
      </c>
      <c r="AE4" s="23">
        <f aca="true" t="shared" si="5" ref="AE4:AE9">IF(T4="",0,IF(Y4&gt;Z4,2,1))</f>
        <v>2</v>
      </c>
      <c r="AF4" s="23">
        <f aca="true" t="shared" si="6" ref="AF4:AF9">IF(T4="",0,IF(Z4&gt;Y4,2,1))</f>
        <v>1</v>
      </c>
      <c r="AH4" s="23">
        <f aca="true" t="shared" si="7" ref="AH4:AL9">IF(T4="",0,IF(MID(T4,1,1)="-",-1,1))</f>
        <v>1</v>
      </c>
      <c r="AI4" s="23">
        <f t="shared" si="7"/>
        <v>1</v>
      </c>
      <c r="AJ4" s="23">
        <f t="shared" si="7"/>
        <v>-1</v>
      </c>
      <c r="AK4" s="23">
        <f t="shared" si="7"/>
        <v>1</v>
      </c>
      <c r="AL4" s="23">
        <f t="shared" si="7"/>
        <v>0</v>
      </c>
      <c r="AN4" s="23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I&lt;TH&gt;1&lt;TH&gt;2&lt;TH&gt;3&lt;TH&gt;4&lt;TH&gt;Body&lt;TH&gt;Pořadí&lt;/TH&gt;&lt;/TR&gt;</v>
      </c>
      <c r="AP4" s="23" t="str">
        <f>CONCATENATE("&lt;TR&gt;&lt;TD width=250&gt;",J4,"&lt;TD&gt;",K4,"&lt;/TD&gt;&lt;/TR&gt;")</f>
        <v>&lt;TR&gt;&lt;TD width=250&gt;Gottschalk Florian - Cyprich Samuel&lt;TD&gt;3 : 1 (4,5,-11,6)&lt;/TD&gt;&lt;/TR&gt;</v>
      </c>
    </row>
    <row r="5" spans="1:42" ht="16.5" customHeight="1" thickTop="1">
      <c r="A5" s="38">
        <v>4</v>
      </c>
      <c r="B5" s="39" t="str">
        <f>IF($A5="","",CONCATENATE(VLOOKUP($A5,seznam!$A$2:$B$268,2)," (",VLOOKUP($A5,seznam!$A$2:$E$269,4),")"))</f>
        <v>Gottschalk Florian (Berliner (GER))</v>
      </c>
      <c r="C5" s="40" t="s">
        <v>30</v>
      </c>
      <c r="D5" s="41" t="str">
        <f>IF(Y7+Z7=0,"",CONCATENATE(Y7,":",Z7))</f>
        <v>3:0</v>
      </c>
      <c r="E5" s="41" t="str">
        <f>IF(Y9+Z9=0,"",CONCATENATE(Z9,":",Y9))</f>
        <v>3:1</v>
      </c>
      <c r="F5" s="42" t="str">
        <f>IF(Y4+Z4=0,"",CONCATENATE(Y4,":",Z4))</f>
        <v>3:1</v>
      </c>
      <c r="G5" s="43">
        <f>IF(AE4+AE7+AF9=0,"",AE4+AE7+AF9)</f>
        <v>6</v>
      </c>
      <c r="H5" s="42">
        <v>1</v>
      </c>
      <c r="J5" s="23" t="str">
        <f t="shared" si="0"/>
        <v>Ivan Karpov - Viesner Vojtěch</v>
      </c>
      <c r="K5" s="23" t="str">
        <f t="shared" si="1"/>
        <v>2 : 1 (8,-8,11)</v>
      </c>
      <c r="M5" s="23" t="str">
        <f>CONCATENATE("2.st. ",úvod!$C$8," - ",M3)</f>
        <v>2.st. YOUNGER CADET BOYS - Skupina I</v>
      </c>
      <c r="N5" s="23">
        <f>A6</f>
        <v>19</v>
      </c>
      <c r="O5" s="23" t="str">
        <f>IF($N5=0,"bye",VLOOKUP($N5,seznam!$A$2:$C$268,2))</f>
        <v>Ivan Karpov</v>
      </c>
      <c r="P5" s="23" t="str">
        <f>IF($N5=0,"",VLOOKUP($N5,seznam!$A$2:$D$268,4))</f>
        <v>Israel </v>
      </c>
      <c r="Q5" s="23">
        <f>A7</f>
        <v>36</v>
      </c>
      <c r="R5" s="23" t="str">
        <f>IF($Q5=0,"bye",VLOOKUP($Q5,seznam!$A$2:$C$268,2))</f>
        <v>Viesner Vojtěch</v>
      </c>
      <c r="S5" s="23">
        <v>5</v>
      </c>
      <c r="T5" s="58" t="s">
        <v>208</v>
      </c>
      <c r="U5" s="59" t="s">
        <v>215</v>
      </c>
      <c r="V5" s="59" t="s">
        <v>216</v>
      </c>
      <c r="W5" s="59"/>
      <c r="X5" s="60"/>
      <c r="Y5" s="23">
        <f>COUNTIF(AH5:AL5,"&gt;0")</f>
        <v>2</v>
      </c>
      <c r="Z5" s="23">
        <f>COUNTIF(AH5:AL5,"&lt;0")</f>
        <v>1</v>
      </c>
      <c r="AA5" s="23">
        <f t="shared" si="2"/>
        <v>19</v>
      </c>
      <c r="AB5" s="23" t="str">
        <f>IF($AA5=0,"",VLOOKUP($AA5,seznam!$A$2:$C$268,2))</f>
        <v>Ivan Karpov</v>
      </c>
      <c r="AC5" s="23" t="str">
        <f t="shared" si="3"/>
        <v>2:1 (8,-8,11)</v>
      </c>
      <c r="AD5" s="23" t="str">
        <f t="shared" si="4"/>
        <v>2:1 (8,-8,11)</v>
      </c>
      <c r="AE5" s="23">
        <f t="shared" si="5"/>
        <v>2</v>
      </c>
      <c r="AF5" s="23">
        <f t="shared" si="6"/>
        <v>1</v>
      </c>
      <c r="AH5" s="23">
        <f t="shared" si="7"/>
        <v>1</v>
      </c>
      <c r="AI5" s="23">
        <f t="shared" si="7"/>
        <v>-1</v>
      </c>
      <c r="AJ5" s="23">
        <f t="shared" si="7"/>
        <v>1</v>
      </c>
      <c r="AK5" s="23">
        <f t="shared" si="7"/>
        <v>0</v>
      </c>
      <c r="AL5" s="23">
        <f t="shared" si="7"/>
        <v>0</v>
      </c>
      <c r="AN5" s="23" t="str">
        <f>CONCATENATE(AO5,AO6,AO7,AO8,)</f>
        <v>&lt;TR&gt;&lt;TD&gt;4&lt;TD width=200&gt;Gottschalk Florian (Berliner (GER))&lt;TD&gt;XXX&lt;TD&gt;3:0&lt;TD&gt;3:1&lt;TD&gt;3:1&lt;TD&gt;6&lt;TD&gt;1&lt;/TD&gt;&lt;/TR&gt;&lt;TR&gt;&lt;TD&gt;19&lt;TD width=200&gt;Ivan Karpov (Israel )&lt;TD&gt;0:3&lt;TD&gt;XXX&lt;TD&gt;2:1&lt;TD&gt;2:3&lt;TD&gt;4&lt;TD&gt;3&lt;/TD&gt;&lt;/TR&gt;&lt;TR&gt;&lt;TD&gt;36&lt;TD width=200&gt;Viesner Vojtěch (SK Dobré)&lt;TD&gt;1:3&lt;TD&gt;1:2&lt;TD&gt;XXX&lt;TD&gt;0:3&lt;TD&gt;3&lt;TD&gt;4&lt;/TD&gt;&lt;/TR&gt;&lt;TR&gt;&lt;TD&gt;32&lt;TD width=200&gt;Cyprich Samuel (MSK Čadca)&lt;TD&gt;1:3&lt;TD&gt;3:2&lt;TD&gt;3:0&lt;TD&gt;XXX&lt;TD&gt;5&lt;TD&gt;2&lt;/TD&gt;&lt;/TR&gt;</v>
      </c>
      <c r="AO5" s="23" t="str">
        <f>CONCATENATE("&lt;TR&gt;&lt;TD&gt;",A5,"&lt;TD width=200&gt;",B5,"&lt;TD&gt;",C5,"&lt;TD&gt;",D5,"&lt;TD&gt;",E5,"&lt;TD&gt;",F5,"&lt;TD&gt;",G5,"&lt;TD&gt;",H5,"&lt;/TD&gt;&lt;/TR&gt;")</f>
        <v>&lt;TR&gt;&lt;TD&gt;4&lt;TD width=200&gt;Gottschalk Florian (Berliner (GER))&lt;TD&gt;XXX&lt;TD&gt;3:0&lt;TD&gt;3:1&lt;TD&gt;3:1&lt;TD&gt;6&lt;TD&gt;1&lt;/TD&gt;&lt;/TR&gt;</v>
      </c>
      <c r="AP5" s="23" t="str">
        <f>CONCATENATE("&lt;TR&gt;&lt;TD&gt;",J5,"&lt;TD&gt;",K5,"&lt;/TD&gt;&lt;/TR&gt;")</f>
        <v>&lt;TR&gt;&lt;TD&gt;Ivan Karpov - Viesner Vojtěch&lt;TD&gt;2 : 1 (8,-8,11)&lt;/TD&gt;&lt;/TR&gt;</v>
      </c>
    </row>
    <row r="6" spans="1:42" ht="16.5" customHeight="1">
      <c r="A6" s="26">
        <v>19</v>
      </c>
      <c r="B6" s="32" t="str">
        <f>IF($A6="","",CONCATENATE(VLOOKUP($A6,seznam!$A$2:$B$268,2)," (",VLOOKUP($A6,seznam!$A$2:$E$269,4),")"))</f>
        <v>Ivan Karpov (Israel )</v>
      </c>
      <c r="C6" s="36" t="str">
        <f>IF(Y7+Z7=0,"",CONCATENATE(Z7,":",Y7))</f>
        <v>0:3</v>
      </c>
      <c r="D6" s="27" t="s">
        <v>30</v>
      </c>
      <c r="E6" s="27" t="str">
        <f>IF(Y5+Z5=0,"",CONCATENATE(Y5,":",Z5))</f>
        <v>2:1</v>
      </c>
      <c r="F6" s="28" t="str">
        <f>IF(Y8+Z8=0,"",CONCATENATE(Y8,":",Z8))</f>
        <v>2:3</v>
      </c>
      <c r="G6" s="34">
        <f>IF(AE5+AF7+AE8=0,"",AE5+AF7+AE8)</f>
        <v>4</v>
      </c>
      <c r="H6" s="28">
        <v>3</v>
      </c>
      <c r="J6" s="23" t="str">
        <f t="shared" si="0"/>
        <v>Cyprich Samuel - Viesner Vojtěch</v>
      </c>
      <c r="K6" s="23" t="str">
        <f t="shared" si="1"/>
        <v>3 : 0 (10,9,10)</v>
      </c>
      <c r="M6" s="23" t="str">
        <f>CONCATENATE("2.st. ",úvod!$C$8," - ",M3)</f>
        <v>2.st. YOUNGER CADET BOYS - Skupina I</v>
      </c>
      <c r="N6" s="23">
        <f>A8</f>
        <v>32</v>
      </c>
      <c r="O6" s="23" t="str">
        <f>IF($N6=0,"bye",VLOOKUP($N6,seznam!$A$2:$C$268,2))</f>
        <v>Cyprich Samuel</v>
      </c>
      <c r="P6" s="23" t="str">
        <f>IF($N6=0,"",VLOOKUP($N6,seznam!$A$2:$D$268,4))</f>
        <v>MSK Čadca</v>
      </c>
      <c r="Q6" s="23">
        <f>A7</f>
        <v>36</v>
      </c>
      <c r="R6" s="23" t="str">
        <f>IF($Q6=0,"bye",VLOOKUP($Q6,seznam!$A$2:$C$268,2))</f>
        <v>Viesner Vojtěch</v>
      </c>
      <c r="S6" s="23" t="str">
        <f>IF($Q6=0,"",VLOOKUP($Q6,seznam!$A$2:$D$268,4))</f>
        <v>SK Dobré</v>
      </c>
      <c r="T6" s="58" t="s">
        <v>222</v>
      </c>
      <c r="U6" s="59" t="s">
        <v>213</v>
      </c>
      <c r="V6" s="59" t="s">
        <v>222</v>
      </c>
      <c r="W6" s="59"/>
      <c r="X6" s="60"/>
      <c r="Y6" s="23">
        <f>COUNTIF(AH6:AL6,"&gt;0")</f>
        <v>3</v>
      </c>
      <c r="Z6" s="23">
        <f>COUNTIF(AH6:AL6,"&lt;0")</f>
        <v>0</v>
      </c>
      <c r="AA6" s="23">
        <f t="shared" si="2"/>
        <v>32</v>
      </c>
      <c r="AB6" s="23" t="str">
        <f>IF($AA6=0,"",VLOOKUP($AA6,seznam!$A$2:$C$268,2))</f>
        <v>Cyprich Samuel</v>
      </c>
      <c r="AC6" s="23" t="str">
        <f t="shared" si="3"/>
        <v>3:0 (10,9,10)</v>
      </c>
      <c r="AD6" s="23" t="str">
        <f t="shared" si="4"/>
        <v>3:0 (10,9,10)</v>
      </c>
      <c r="AE6" s="23">
        <f t="shared" si="5"/>
        <v>2</v>
      </c>
      <c r="AF6" s="23">
        <f t="shared" si="6"/>
        <v>1</v>
      </c>
      <c r="AH6" s="23">
        <f t="shared" si="7"/>
        <v>1</v>
      </c>
      <c r="AI6" s="23">
        <f t="shared" si="7"/>
        <v>1</v>
      </c>
      <c r="AJ6" s="23">
        <f t="shared" si="7"/>
        <v>1</v>
      </c>
      <c r="AK6" s="23">
        <f t="shared" si="7"/>
        <v>0</v>
      </c>
      <c r="AL6" s="23">
        <f t="shared" si="7"/>
        <v>0</v>
      </c>
      <c r="AN6" s="23" t="str">
        <f>CONCATENATE("&lt;/Table&gt;&lt;TD width=420&gt;&lt;Table&gt;")</f>
        <v>&lt;/Table&gt;&lt;TD width=420&gt;&lt;Table&gt;</v>
      </c>
      <c r="AO6" s="23" t="str">
        <f>CONCATENATE("&lt;TR&gt;&lt;TD&gt;",A6,"&lt;TD width=200&gt;",B6,"&lt;TD&gt;",C6,"&lt;TD&gt;",D6,"&lt;TD&gt;",E6,"&lt;TD&gt;",F6,"&lt;TD&gt;",G6,"&lt;TD&gt;",H6,"&lt;/TD&gt;&lt;/TR&gt;")</f>
        <v>&lt;TR&gt;&lt;TD&gt;19&lt;TD width=200&gt;Ivan Karpov (Israel )&lt;TD&gt;0:3&lt;TD&gt;XXX&lt;TD&gt;2:1&lt;TD&gt;2:3&lt;TD&gt;4&lt;TD&gt;3&lt;/TD&gt;&lt;/TR&gt;</v>
      </c>
      <c r="AP6" s="23" t="str">
        <f>CONCATENATE("&lt;TR&gt;&lt;TD&gt;",J6,"&lt;TD&gt;",K6,"&lt;/TD&gt;&lt;/TR&gt;")</f>
        <v>&lt;TR&gt;&lt;TD&gt;Cyprich Samuel - Viesner Vojtěch&lt;TD&gt;3 : 0 (10,9,10)&lt;/TD&gt;&lt;/TR&gt;</v>
      </c>
    </row>
    <row r="7" spans="1:42" ht="16.5" customHeight="1">
      <c r="A7" s="26">
        <v>36</v>
      </c>
      <c r="B7" s="32" t="str">
        <f>IF($A7="","",CONCATENATE(VLOOKUP($A7,seznam!$A$2:$B$268,2)," (",VLOOKUP($A7,seznam!$A$2:$E$269,4),")"))</f>
        <v>Viesner Vojtěch (SK Dobré)</v>
      </c>
      <c r="C7" s="36" t="str">
        <f>IF(Y9+Z9=0,"",CONCATENATE(Y9,":",Z9))</f>
        <v>1:3</v>
      </c>
      <c r="D7" s="27" t="str">
        <f>IF(Y5+Z5=0,"",CONCATENATE(Z5,":",Y5))</f>
        <v>1:2</v>
      </c>
      <c r="E7" s="27" t="s">
        <v>30</v>
      </c>
      <c r="F7" s="28" t="str">
        <f>IF(Y6+Z6=0,"",CONCATENATE(Z6,":",Y6))</f>
        <v>0:3</v>
      </c>
      <c r="G7" s="34">
        <f>IF(AF5+AF6+AE9=0,"",AF5+AF6+AE9)</f>
        <v>3</v>
      </c>
      <c r="H7" s="28">
        <v>4</v>
      </c>
      <c r="J7" s="23" t="str">
        <f t="shared" si="0"/>
        <v>Gottschalk Florian - Ivan Karpov</v>
      </c>
      <c r="K7" s="23" t="str">
        <f t="shared" si="1"/>
        <v>3 : 0 (5,2,4)</v>
      </c>
      <c r="M7" s="23" t="str">
        <f>CONCATENATE("2.st. ",úvod!$C$8," - ",M3)</f>
        <v>2.st. YOUNGER CADET BOYS - Skupina I</v>
      </c>
      <c r="N7" s="23">
        <f>A5</f>
        <v>4</v>
      </c>
      <c r="O7" s="23" t="str">
        <f>IF($N7=0,"bye",VLOOKUP($N7,seznam!$A$2:$C$268,2))</f>
        <v>Gottschalk Florian</v>
      </c>
      <c r="P7" s="23" t="str">
        <f>IF($N7=0,"",VLOOKUP($N7,seznam!$A$2:$D$268,4))</f>
        <v>Berliner (GER)</v>
      </c>
      <c r="Q7" s="23">
        <f>A6</f>
        <v>19</v>
      </c>
      <c r="R7" s="23" t="str">
        <f>IF($Q7=0,"bye",VLOOKUP($Q7,seznam!$A$2:$C$268,2))</f>
        <v>Ivan Karpov</v>
      </c>
      <c r="S7" s="23" t="str">
        <f>IF($Q7=0,"",VLOOKUP($Q7,seznam!$A$2:$D$268,4))</f>
        <v>Israel </v>
      </c>
      <c r="T7" s="58" t="s">
        <v>211</v>
      </c>
      <c r="U7" s="59" t="s">
        <v>206</v>
      </c>
      <c r="V7" s="59" t="s">
        <v>220</v>
      </c>
      <c r="W7" s="59"/>
      <c r="X7" s="60"/>
      <c r="Y7" s="23">
        <f>COUNTIF(AH7:AL7,"&gt;0")</f>
        <v>3</v>
      </c>
      <c r="Z7" s="23">
        <f>COUNTIF(AH7:AL7,"&lt;0")</f>
        <v>0</v>
      </c>
      <c r="AA7" s="23">
        <f t="shared" si="2"/>
        <v>4</v>
      </c>
      <c r="AB7" s="23" t="str">
        <f>IF($AA7=0,"",VLOOKUP($AA7,seznam!$A$2:$C$268,2))</f>
        <v>Gottschalk Florian</v>
      </c>
      <c r="AC7" s="23" t="str">
        <f t="shared" si="3"/>
        <v>3:0 (5,2,4)</v>
      </c>
      <c r="AD7" s="23" t="str">
        <f t="shared" si="4"/>
        <v>3:0 (5,2,4)</v>
      </c>
      <c r="AE7" s="23">
        <f t="shared" si="5"/>
        <v>2</v>
      </c>
      <c r="AF7" s="23">
        <f t="shared" si="6"/>
        <v>1</v>
      </c>
      <c r="AH7" s="23">
        <f t="shared" si="7"/>
        <v>1</v>
      </c>
      <c r="AI7" s="23">
        <f t="shared" si="7"/>
        <v>1</v>
      </c>
      <c r="AJ7" s="23">
        <f t="shared" si="7"/>
        <v>1</v>
      </c>
      <c r="AK7" s="23">
        <f t="shared" si="7"/>
        <v>0</v>
      </c>
      <c r="AL7" s="23">
        <f t="shared" si="7"/>
        <v>0</v>
      </c>
      <c r="AN7" s="23" t="str">
        <f>CONCATENATE(AP4,AP5,AP6,AP7,AP8,AP9,)</f>
        <v>&lt;TR&gt;&lt;TD width=250&gt;Gottschalk Florian - Cyprich Samuel&lt;TD&gt;3 : 1 (4,5,-11,6)&lt;/TD&gt;&lt;/TR&gt;&lt;TR&gt;&lt;TD&gt;Ivan Karpov - Viesner Vojtěch&lt;TD&gt;2 : 1 (8,-8,11)&lt;/TD&gt;&lt;/TR&gt;&lt;TR&gt;&lt;TD&gt;Cyprich Samuel - Viesner Vojtěch&lt;TD&gt;3 : 0 (10,9,10)&lt;/TD&gt;&lt;/TR&gt;&lt;TR&gt;&lt;TD&gt;Gottschalk Florian - Ivan Karpov&lt;TD&gt;3 : 0 (5,2,4)&lt;/TD&gt;&lt;/TR&gt;&lt;TR&gt;&lt;TD&gt;Ivan Karpov - Cyprich Samuel&lt;TD&gt;2 : 3 (9,-6,-7,3,-2)&lt;/TD&gt;&lt;/TR&gt;&lt;TR&gt;&lt;TD&gt;Viesner Vojtěch - Gottschalk Florian&lt;TD&gt;1 : 3 (-5,8,-7,-4)&lt;/TD&gt;&lt;/TR&gt;</v>
      </c>
      <c r="AO7" s="23" t="str">
        <f>CONCATENATE("&lt;TR&gt;&lt;TD&gt;",A7,"&lt;TD width=200&gt;",B7,"&lt;TD&gt;",C7,"&lt;TD&gt;",D7,"&lt;TD&gt;",E7,"&lt;TD&gt;",F7,"&lt;TD&gt;",G7,"&lt;TD&gt;",H7,"&lt;/TD&gt;&lt;/TR&gt;")</f>
        <v>&lt;TR&gt;&lt;TD&gt;36&lt;TD width=200&gt;Viesner Vojtěch (SK Dobré)&lt;TD&gt;1:3&lt;TD&gt;1:2&lt;TD&gt;XXX&lt;TD&gt;0:3&lt;TD&gt;3&lt;TD&gt;4&lt;/TD&gt;&lt;/TR&gt;</v>
      </c>
      <c r="AP7" s="23" t="str">
        <f>CONCATENATE("&lt;TR&gt;&lt;TD&gt;",J7,"&lt;TD&gt;",K7,"&lt;/TD&gt;&lt;/TR&gt;")</f>
        <v>&lt;TR&gt;&lt;TD&gt;Gottschalk Florian - Ivan Karpov&lt;TD&gt;3 : 0 (5,2,4)&lt;/TD&gt;&lt;/TR&gt;</v>
      </c>
    </row>
    <row r="8" spans="1:42" ht="16.5" customHeight="1" thickBot="1">
      <c r="A8" s="29">
        <v>32</v>
      </c>
      <c r="B8" s="33" t="str">
        <f>IF($A8="","",CONCATENATE(VLOOKUP($A8,seznam!$A$2:$B$268,2)," (",VLOOKUP($A8,seznam!$A$2:$E$269,4),")"))</f>
        <v>Cyprich Samuel (MSK Čadca)</v>
      </c>
      <c r="C8" s="37" t="str">
        <f>IF(Y4+Z4=0,"",CONCATENATE(Z4,":",Y4))</f>
        <v>1:3</v>
      </c>
      <c r="D8" s="30" t="str">
        <f>IF(Y8+Z8=0,"",CONCATENATE(Z8,":",Y8))</f>
        <v>3:2</v>
      </c>
      <c r="E8" s="30" t="str">
        <f>IF(Y6+Z6=0,"",CONCATENATE(Y6,":",Z6))</f>
        <v>3:0</v>
      </c>
      <c r="F8" s="31" t="s">
        <v>30</v>
      </c>
      <c r="G8" s="35">
        <f>IF(AF4+AE6+AF8=0,"",AF4+AE6+AF8)</f>
        <v>5</v>
      </c>
      <c r="H8" s="31">
        <v>2</v>
      </c>
      <c r="J8" s="23" t="str">
        <f t="shared" si="0"/>
        <v>Ivan Karpov - Cyprich Samuel</v>
      </c>
      <c r="K8" s="23" t="str">
        <f t="shared" si="1"/>
        <v>2 : 3 (9,-6,-7,3,-2)</v>
      </c>
      <c r="M8" s="23" t="str">
        <f>CONCATENATE("2.st. ",úvod!$C$8," - ",M3)</f>
        <v>2.st. YOUNGER CADET BOYS - Skupina I</v>
      </c>
      <c r="N8" s="23">
        <f>A6</f>
        <v>19</v>
      </c>
      <c r="O8" s="23" t="str">
        <f>IF($N8=0,"bye",VLOOKUP($N8,seznam!$A$2:$C$268,2))</f>
        <v>Ivan Karpov</v>
      </c>
      <c r="P8" s="23" t="str">
        <f>IF($N8=0,"",VLOOKUP($N8,seznam!$A$2:$D$268,4))</f>
        <v>Israel </v>
      </c>
      <c r="Q8" s="23">
        <f>A8</f>
        <v>32</v>
      </c>
      <c r="R8" s="23" t="str">
        <f>IF($Q8=0,"bye",VLOOKUP($Q8,seznam!$A$2:$C$268,2))</f>
        <v>Cyprich Samuel</v>
      </c>
      <c r="S8" s="23" t="str">
        <f>IF($Q8=0,"",VLOOKUP($Q8,seznam!$A$2:$D$268,4))</f>
        <v>MSK Čadca</v>
      </c>
      <c r="T8" s="58" t="s">
        <v>213</v>
      </c>
      <c r="U8" s="59" t="s">
        <v>221</v>
      </c>
      <c r="V8" s="59" t="s">
        <v>218</v>
      </c>
      <c r="W8" s="59" t="s">
        <v>212</v>
      </c>
      <c r="X8" s="60" t="s">
        <v>229</v>
      </c>
      <c r="Y8" s="23">
        <f>COUNTIF(AH8:AL8,"&gt;0")</f>
        <v>2</v>
      </c>
      <c r="Z8" s="23">
        <f>COUNTIF(AH8:AL8,"&lt;0")</f>
        <v>3</v>
      </c>
      <c r="AA8" s="23">
        <f t="shared" si="2"/>
        <v>32</v>
      </c>
      <c r="AB8" s="23" t="str">
        <f>IF($AA8=0,"",VLOOKUP($AA8,seznam!$A$2:$C$268,2))</f>
        <v>Cyprich Samuel</v>
      </c>
      <c r="AC8" s="23" t="str">
        <f t="shared" si="3"/>
        <v>3:2 (-9,6,7,-3,2)</v>
      </c>
      <c r="AD8" s="23" t="str">
        <f t="shared" si="4"/>
        <v>3:2 (-9,6,7,-3,2)</v>
      </c>
      <c r="AE8" s="23">
        <f t="shared" si="5"/>
        <v>1</v>
      </c>
      <c r="AF8" s="23">
        <f t="shared" si="6"/>
        <v>2</v>
      </c>
      <c r="AH8" s="23">
        <f t="shared" si="7"/>
        <v>1</v>
      </c>
      <c r="AI8" s="23">
        <f t="shared" si="7"/>
        <v>-1</v>
      </c>
      <c r="AJ8" s="23">
        <f t="shared" si="7"/>
        <v>-1</v>
      </c>
      <c r="AK8" s="23">
        <f t="shared" si="7"/>
        <v>1</v>
      </c>
      <c r="AL8" s="23">
        <f t="shared" si="7"/>
        <v>-1</v>
      </c>
      <c r="AN8" s="23" t="str">
        <f>CONCATENATE("&lt;/Table&gt;&lt;/TD&gt;&lt;/TR&gt;&lt;/Table&gt;&lt;P&gt;")</f>
        <v>&lt;/Table&gt;&lt;/TD&gt;&lt;/TR&gt;&lt;/Table&gt;&lt;P&gt;</v>
      </c>
      <c r="AO8" s="23" t="str">
        <f>CONCATENATE("&lt;TR&gt;&lt;TD&gt;",A8,"&lt;TD width=200&gt;",B8,"&lt;TD&gt;",C8,"&lt;TD&gt;",D8,"&lt;TD&gt;",E8,"&lt;TD&gt;",F8,"&lt;TD&gt;",G8,"&lt;TD&gt;",H8,"&lt;/TD&gt;&lt;/TR&gt;")</f>
        <v>&lt;TR&gt;&lt;TD&gt;32&lt;TD width=200&gt;Cyprich Samuel (MSK Čadca)&lt;TD&gt;1:3&lt;TD&gt;3:2&lt;TD&gt;3:0&lt;TD&gt;XXX&lt;TD&gt;5&lt;TD&gt;2&lt;/TD&gt;&lt;/TR&gt;</v>
      </c>
      <c r="AP8" s="23" t="str">
        <f>CONCATENATE("&lt;TR&gt;&lt;TD&gt;",J8,"&lt;TD&gt;",K8,"&lt;/TD&gt;&lt;/TR&gt;")</f>
        <v>&lt;TR&gt;&lt;TD&gt;Ivan Karpov - Cyprich Samuel&lt;TD&gt;2 : 3 (9,-6,-7,3,-2)&lt;/TD&gt;&lt;/TR&gt;</v>
      </c>
    </row>
    <row r="9" spans="10:42" ht="16.5" customHeight="1" thickBot="1" thickTop="1">
      <c r="J9" s="23" t="str">
        <f t="shared" si="0"/>
        <v>Viesner Vojtěch - Gottschalk Florian</v>
      </c>
      <c r="K9" s="23" t="str">
        <f t="shared" si="1"/>
        <v>1 : 3 (-5,8,-7,-4)</v>
      </c>
      <c r="M9" s="23" t="str">
        <f>CONCATENATE("2.st. ",úvod!$C$8," - ",M3)</f>
        <v>2.st. YOUNGER CADET BOYS - Skupina I</v>
      </c>
      <c r="N9" s="23">
        <f>A7</f>
        <v>36</v>
      </c>
      <c r="O9" s="23" t="str">
        <f>IF($N9=0,"bye",VLOOKUP($N9,seznam!$A$2:$C$268,2))</f>
        <v>Viesner Vojtěch</v>
      </c>
      <c r="P9" s="23" t="str">
        <f>IF($N9=0,"",VLOOKUP($N9,seznam!$A$2:$D$268,4))</f>
        <v>SK Dobré</v>
      </c>
      <c r="Q9" s="23">
        <f>A5</f>
        <v>4</v>
      </c>
      <c r="R9" s="23" t="str">
        <f>IF($Q9=0,"bye",VLOOKUP($Q9,seznam!$A$2:$C$268,2))</f>
        <v>Gottschalk Florian</v>
      </c>
      <c r="S9" s="23" t="str">
        <f>IF($Q9=0,"",VLOOKUP($Q9,seznam!$A$2:$D$268,4))</f>
        <v>Berliner (GER)</v>
      </c>
      <c r="T9" s="61" t="s">
        <v>224</v>
      </c>
      <c r="U9" s="62" t="s">
        <v>208</v>
      </c>
      <c r="V9" s="62" t="s">
        <v>218</v>
      </c>
      <c r="W9" s="62" t="s">
        <v>225</v>
      </c>
      <c r="X9" s="63"/>
      <c r="Y9" s="23">
        <v>1</v>
      </c>
      <c r="Z9" s="23">
        <v>3</v>
      </c>
      <c r="AA9" s="23">
        <f t="shared" si="2"/>
        <v>4</v>
      </c>
      <c r="AB9" s="23" t="str">
        <f>IF($AA9=0,"",VLOOKUP($AA9,seznam!$A$2:$C$268,2))</f>
        <v>Gottschalk Florian</v>
      </c>
      <c r="AC9" s="23" t="str">
        <f t="shared" si="3"/>
        <v>3:1 (5,-8,7,4)</v>
      </c>
      <c r="AD9" s="23" t="str">
        <f t="shared" si="4"/>
        <v>3:1 (5,-8,7,4)</v>
      </c>
      <c r="AE9" s="23">
        <f t="shared" si="5"/>
        <v>1</v>
      </c>
      <c r="AF9" s="23">
        <f t="shared" si="6"/>
        <v>2</v>
      </c>
      <c r="AH9" s="23">
        <f t="shared" si="7"/>
        <v>-1</v>
      </c>
      <c r="AI9" s="23">
        <f t="shared" si="7"/>
        <v>1</v>
      </c>
      <c r="AJ9" s="23">
        <f t="shared" si="7"/>
        <v>-1</v>
      </c>
      <c r="AK9" s="23">
        <f t="shared" si="7"/>
        <v>-1</v>
      </c>
      <c r="AL9" s="23">
        <f t="shared" si="7"/>
        <v>0</v>
      </c>
      <c r="AP9" s="23" t="str">
        <f>CONCATENATE("&lt;TR&gt;&lt;TD&gt;",J9,"&lt;TD&gt;",K9,"&lt;/TD&gt;&lt;/TR&gt;")</f>
        <v>&lt;TR&gt;&lt;TD&gt;Viesner Vojtěch - Gottschalk Florian&lt;TD&gt;1 : 3 (-5,8,-7,-4)&lt;/TD&gt;&lt;/TR&gt;</v>
      </c>
    </row>
    <row r="10" spans="13:40" ht="16.5" customHeight="1" thickBot="1" thickTop="1">
      <c r="M10" s="24" t="str">
        <f>B11</f>
        <v>Skupina J</v>
      </c>
      <c r="N10" s="24" t="s">
        <v>0</v>
      </c>
      <c r="O10" s="24" t="s">
        <v>1</v>
      </c>
      <c r="P10" s="24" t="s">
        <v>2</v>
      </c>
      <c r="Q10" s="24" t="s">
        <v>0</v>
      </c>
      <c r="R10" s="24" t="s">
        <v>3</v>
      </c>
      <c r="S10" s="24" t="s">
        <v>2</v>
      </c>
      <c r="T10" s="25" t="s">
        <v>4</v>
      </c>
      <c r="U10" s="25" t="s">
        <v>5</v>
      </c>
      <c r="V10" s="25" t="s">
        <v>6</v>
      </c>
      <c r="W10" s="25" t="s">
        <v>7</v>
      </c>
      <c r="X10" s="25" t="s">
        <v>8</v>
      </c>
      <c r="Y10" s="24" t="s">
        <v>9</v>
      </c>
      <c r="Z10" s="24" t="s">
        <v>10</v>
      </c>
      <c r="AA10" s="24" t="s">
        <v>11</v>
      </c>
      <c r="AN10" s="23" t="s">
        <v>16</v>
      </c>
    </row>
    <row r="11" spans="1:42" ht="16.5" customHeight="1" thickBot="1" thickTop="1">
      <c r="A11" s="44"/>
      <c r="B11" s="45" t="s">
        <v>195</v>
      </c>
      <c r="C11" s="46">
        <v>1</v>
      </c>
      <c r="D11" s="47">
        <v>2</v>
      </c>
      <c r="E11" s="47">
        <v>3</v>
      </c>
      <c r="F11" s="48">
        <v>4</v>
      </c>
      <c r="G11" s="49" t="s">
        <v>14</v>
      </c>
      <c r="H11" s="48" t="s">
        <v>15</v>
      </c>
      <c r="J11" s="23" t="str">
        <f aca="true" t="shared" si="8" ref="J11:J16">CONCATENATE(O11," - ",R11)</f>
        <v>Davnarovich Pavel - bye</v>
      </c>
      <c r="K11" s="23">
        <f aca="true" t="shared" si="9" ref="K11:K16">IF(SUM(Y11:Z11)=0,AD11,CONCATENATE(Y11," : ",Z11," (",T11,",",U11,",",V11,IF(Y11+Z11&gt;3,",",""),W11,IF(Y11+Z11&gt;4,",",""),X11,")"))</f>
      </c>
      <c r="M11" s="23" t="str">
        <f>CONCATENATE("2.st. ",úvod!$C$8," - ",M10)</f>
        <v>2.st. YOUNGER CADET BOYS - Skupina J</v>
      </c>
      <c r="N11" s="23">
        <f>A12</f>
        <v>2</v>
      </c>
      <c r="O11" s="23" t="str">
        <f>IF($N11=0,"bye",VLOOKUP($N11,seznam!$A$2:$C$268,2))</f>
        <v>Davnarovich Pavel</v>
      </c>
      <c r="P11" s="23" t="str">
        <f>IF($N11=0,"",VLOOKUP($N11,seznam!$A$2:$D$268,4))</f>
        <v>Belarus </v>
      </c>
      <c r="Q11" s="23">
        <f>A15</f>
        <v>0</v>
      </c>
      <c r="R11" s="23" t="str">
        <f>IF($Q11=0,"bye",VLOOKUP($Q11,seznam!$A$2:$C$268,2))</f>
        <v>bye</v>
      </c>
      <c r="S11" s="23">
        <f>IF($Q11=0,"",VLOOKUP($Q11,seznam!$A$2:$D$268,4))</f>
      </c>
      <c r="T11" s="55"/>
      <c r="U11" s="56"/>
      <c r="V11" s="56"/>
      <c r="W11" s="56"/>
      <c r="X11" s="57"/>
      <c r="Y11" s="23">
        <f aca="true" t="shared" si="10" ref="Y11:Y16">COUNTIF(AH11:AL11,"&gt;0")</f>
        <v>0</v>
      </c>
      <c r="Z11" s="23">
        <f aca="true" t="shared" si="11" ref="Z11:Z16">COUNTIF(AH11:AL11,"&lt;0")</f>
        <v>0</v>
      </c>
      <c r="AA11" s="23">
        <f aca="true" t="shared" si="12" ref="AA11:AA16">IF(Y11=Z11,0,IF(Y11&gt;Z11,N11,Q11))</f>
        <v>0</v>
      </c>
      <c r="AB11" s="23">
        <f>IF($AA11=0,"",VLOOKUP($AA11,seznam!$A$2:$C$268,2))</f>
      </c>
      <c r="AC11" s="23">
        <f aca="true" t="shared" si="13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</c>
      <c r="AD11" s="23">
        <f aca="true" t="shared" si="14" ref="AD11:AD16">IF(SUM(Y11:Z11)=0,"",AC11)</f>
      </c>
      <c r="AE11" s="23">
        <f aca="true" t="shared" si="15" ref="AE11:AE16">IF(T11="",0,IF(Y11&gt;Z11,2,1))</f>
        <v>0</v>
      </c>
      <c r="AF11" s="23">
        <f aca="true" t="shared" si="16" ref="AF11:AF16">IF(T11="",0,IF(Z11&gt;Y11,2,1))</f>
        <v>0</v>
      </c>
      <c r="AH11" s="23">
        <f aca="true" t="shared" si="17" ref="AH11:AL16">IF(T11="",0,IF(MID(T11,1,1)="-",-1,1))</f>
        <v>0</v>
      </c>
      <c r="AI11" s="23">
        <f t="shared" si="17"/>
        <v>0</v>
      </c>
      <c r="AJ11" s="23">
        <f t="shared" si="17"/>
        <v>0</v>
      </c>
      <c r="AK11" s="23">
        <f t="shared" si="17"/>
        <v>0</v>
      </c>
      <c r="AL11" s="23">
        <f t="shared" si="17"/>
        <v>0</v>
      </c>
      <c r="AN11" s="23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J&lt;TH&gt;1&lt;TH&gt;2&lt;TH&gt;3&lt;TH&gt;4&lt;TH&gt;Body&lt;TH&gt;Pořadí&lt;/TH&gt;&lt;/TR&gt;</v>
      </c>
      <c r="AP11" s="23" t="str">
        <f>CONCATENATE("&lt;TR&gt;&lt;TD width=250&gt;",J11,"&lt;TD&gt;",K11,"&lt;/TD&gt;&lt;/TR&gt;")</f>
        <v>&lt;TR&gt;&lt;TD width=250&gt;Davnarovich Pavel - bye&lt;TD&gt;&lt;/TD&gt;&lt;/TR&gt;</v>
      </c>
    </row>
    <row r="12" spans="1:42" ht="16.5" customHeight="1" thickTop="1">
      <c r="A12" s="38">
        <v>2</v>
      </c>
      <c r="B12" s="39" t="str">
        <f>IF($A12="","",CONCATENATE(VLOOKUP($A12,seznam!$A$2:$B$268,2)," (",VLOOKUP($A12,seznam!$A$2:$E$269,4),")"))</f>
        <v>Davnarovich Pavel (Belarus )</v>
      </c>
      <c r="C12" s="40" t="s">
        <v>30</v>
      </c>
      <c r="D12" s="41" t="str">
        <f>IF(Y14+Z14=0,"",CONCATENATE(Y14,":",Z14))</f>
        <v>3:0</v>
      </c>
      <c r="E12" s="41" t="str">
        <f>IF(Y16+Z16=0,"",CONCATENATE(Z16,":",Y16))</f>
        <v>3:0</v>
      </c>
      <c r="F12" s="42">
        <f>IF(Y11+Z11=0,"",CONCATENATE(Y11,":",Z11))</f>
      </c>
      <c r="G12" s="43">
        <f>IF(AE11+AE14+AF16=0,"",AE11+AE14+AF16)</f>
        <v>4</v>
      </c>
      <c r="H12" s="42">
        <v>1</v>
      </c>
      <c r="J12" s="23" t="str">
        <f t="shared" si="8"/>
        <v>Siska Tomáš - Koldas Tomáš</v>
      </c>
      <c r="K12" s="23" t="str">
        <f t="shared" si="9"/>
        <v>0 : 3 (-5,-8,-6)</v>
      </c>
      <c r="M12" s="23" t="str">
        <f>CONCATENATE("2.st. ",úvod!$C$8," - ",M10)</f>
        <v>2.st. YOUNGER CADET BOYS - Skupina J</v>
      </c>
      <c r="N12" s="23">
        <f>A13</f>
        <v>51</v>
      </c>
      <c r="O12" s="23" t="str">
        <f>IF($N12=0,"bye",VLOOKUP($N12,seznam!$A$2:$C$268,2))</f>
        <v>Siska Tomáš</v>
      </c>
      <c r="P12" s="23" t="str">
        <f>IF($N12=0,"",VLOOKUP($N12,seznam!$A$2:$D$268,4))</f>
        <v>TTC Majcichov</v>
      </c>
      <c r="Q12" s="23">
        <f>A14</f>
        <v>56</v>
      </c>
      <c r="R12" s="23" t="str">
        <f>IF($Q12=0,"bye",VLOOKUP($Q12,seznam!$A$2:$C$268,2))</f>
        <v>Koldas Tomáš</v>
      </c>
      <c r="S12" s="23" t="str">
        <f>IF($Q12=0,"",VLOOKUP($Q12,seznam!$A$2:$D$268,4))</f>
        <v>Zlín </v>
      </c>
      <c r="T12" s="58" t="s">
        <v>224</v>
      </c>
      <c r="U12" s="59" t="s">
        <v>215</v>
      </c>
      <c r="V12" s="59" t="s">
        <v>221</v>
      </c>
      <c r="W12" s="59"/>
      <c r="X12" s="60"/>
      <c r="Y12" s="23">
        <f t="shared" si="10"/>
        <v>0</v>
      </c>
      <c r="Z12" s="23">
        <f t="shared" si="11"/>
        <v>3</v>
      </c>
      <c r="AA12" s="23">
        <f t="shared" si="12"/>
        <v>56</v>
      </c>
      <c r="AB12" s="23" t="str">
        <f>IF($AA12=0,"",VLOOKUP($AA12,seznam!$A$2:$C$268,2))</f>
        <v>Koldas Tomáš</v>
      </c>
      <c r="AC12" s="23" t="str">
        <f t="shared" si="13"/>
        <v>3:0 (5,8,6)</v>
      </c>
      <c r="AD12" s="23" t="str">
        <f t="shared" si="14"/>
        <v>3:0 (5,8,6)</v>
      </c>
      <c r="AE12" s="23">
        <f t="shared" si="15"/>
        <v>1</v>
      </c>
      <c r="AF12" s="23">
        <f t="shared" si="16"/>
        <v>2</v>
      </c>
      <c r="AH12" s="23">
        <f t="shared" si="17"/>
        <v>-1</v>
      </c>
      <c r="AI12" s="23">
        <f t="shared" si="17"/>
        <v>-1</v>
      </c>
      <c r="AJ12" s="23">
        <f t="shared" si="17"/>
        <v>-1</v>
      </c>
      <c r="AK12" s="23">
        <f t="shared" si="17"/>
        <v>0</v>
      </c>
      <c r="AL12" s="23">
        <f t="shared" si="17"/>
        <v>0</v>
      </c>
      <c r="AN12" s="23" t="str">
        <f>CONCATENATE(AO12,AO13,AO14,AO15,)</f>
        <v>&lt;TR&gt;&lt;TD&gt;2&lt;TD width=200&gt;Davnarovich Pavel (Belarus )&lt;TD&gt;XXX&lt;TD&gt;3:0&lt;TD&gt;3:0&lt;TD&gt;&lt;TD&gt;4&lt;TD&gt;1&lt;/TD&gt;&lt;/TR&gt;&lt;TR&gt;&lt;TD&gt;51&lt;TD width=200&gt;Siska Tomáš (TTC Majcichov)&lt;TD&gt;0:3&lt;TD&gt;XXX&lt;TD&gt;0:3&lt;TD&gt;&lt;TD&gt;2&lt;TD&gt;3&lt;/TD&gt;&lt;/TR&gt;&lt;TR&gt;&lt;TD&gt;56&lt;TD width=200&gt;Koldas Tomáš (Zlín )&lt;TD&gt;0:3&lt;TD&gt;3:0&lt;TD&gt;XXX&lt;TD&gt;&lt;TD&gt;3&lt;TD&gt;2&lt;/TD&gt;&lt;/TR&gt;&lt;TR&gt;&lt;TD&gt;&lt;TD width=200&gt;&lt;TD&gt;&lt;TD&gt;&lt;TD&gt;&lt;TD&gt;XXX&lt;TD&gt;&lt;TD&gt;&lt;/TD&gt;&lt;/TR&gt;</v>
      </c>
      <c r="AO12" s="23" t="str">
        <f>CONCATENATE("&lt;TR&gt;&lt;TD&gt;",A12,"&lt;TD width=200&gt;",B12,"&lt;TD&gt;",C12,"&lt;TD&gt;",D12,"&lt;TD&gt;",E12,"&lt;TD&gt;",F12,"&lt;TD&gt;",G12,"&lt;TD&gt;",H12,"&lt;/TD&gt;&lt;/TR&gt;")</f>
        <v>&lt;TR&gt;&lt;TD&gt;2&lt;TD width=200&gt;Davnarovich Pavel (Belarus )&lt;TD&gt;XXX&lt;TD&gt;3:0&lt;TD&gt;3:0&lt;TD&gt;&lt;TD&gt;4&lt;TD&gt;1&lt;/TD&gt;&lt;/TR&gt;</v>
      </c>
      <c r="AP12" s="23" t="str">
        <f>CONCATENATE("&lt;TR&gt;&lt;TD&gt;",J12,"&lt;TD&gt;",K12,"&lt;/TD&gt;&lt;/TR&gt;")</f>
        <v>&lt;TR&gt;&lt;TD&gt;Siska Tomáš - Koldas Tomáš&lt;TD&gt;0 : 3 (-5,-8,-6)&lt;/TD&gt;&lt;/TR&gt;</v>
      </c>
    </row>
    <row r="13" spans="1:42" ht="16.5" customHeight="1">
      <c r="A13" s="26">
        <v>51</v>
      </c>
      <c r="B13" s="32" t="str">
        <f>IF($A13="","",CONCATENATE(VLOOKUP($A13,seznam!$A$2:$B$268,2)," (",VLOOKUP($A13,seznam!$A$2:$E$269,4),")"))</f>
        <v>Siska Tomáš (TTC Majcichov)</v>
      </c>
      <c r="C13" s="36" t="str">
        <f>IF(Y14+Z14=0,"",CONCATENATE(Z14,":",Y14))</f>
        <v>0:3</v>
      </c>
      <c r="D13" s="27" t="s">
        <v>30</v>
      </c>
      <c r="E13" s="27" t="str">
        <f>IF(Y12+Z12=0,"",CONCATENATE(Y12,":",Z12))</f>
        <v>0:3</v>
      </c>
      <c r="F13" s="28">
        <f>IF(Y15+Z15=0,"",CONCATENATE(Y15,":",Z15))</f>
      </c>
      <c r="G13" s="34">
        <f>IF(AE12+AF14+AE15=0,"",AE12+AF14+AE15)</f>
        <v>2</v>
      </c>
      <c r="H13" s="28">
        <v>3</v>
      </c>
      <c r="J13" s="23" t="str">
        <f t="shared" si="8"/>
        <v>bye - Koldas Tomáš</v>
      </c>
      <c r="K13" s="23">
        <f t="shared" si="9"/>
      </c>
      <c r="M13" s="23" t="str">
        <f>CONCATENATE("2.st. ",úvod!$C$8," - ",M10)</f>
        <v>2.st. YOUNGER CADET BOYS - Skupina J</v>
      </c>
      <c r="N13" s="23">
        <f>A15</f>
        <v>0</v>
      </c>
      <c r="O13" s="23" t="str">
        <f>IF($N13=0,"bye",VLOOKUP($N13,seznam!$A$2:$C$268,2))</f>
        <v>bye</v>
      </c>
      <c r="P13" s="23">
        <f>IF($N13=0,"",VLOOKUP($N13,seznam!$A$2:$D$268,4))</f>
      </c>
      <c r="Q13" s="23">
        <f>A14</f>
        <v>56</v>
      </c>
      <c r="R13" s="23" t="str">
        <f>IF($Q13=0,"bye",VLOOKUP($Q13,seznam!$A$2:$C$268,2))</f>
        <v>Koldas Tomáš</v>
      </c>
      <c r="S13" s="23" t="str">
        <f>IF($Q13=0,"",VLOOKUP($Q13,seznam!$A$2:$D$268,4))</f>
        <v>Zlín </v>
      </c>
      <c r="T13" s="58"/>
      <c r="U13" s="59"/>
      <c r="V13" s="59"/>
      <c r="W13" s="59"/>
      <c r="X13" s="60"/>
      <c r="Y13" s="23">
        <f t="shared" si="10"/>
        <v>0</v>
      </c>
      <c r="Z13" s="23">
        <f t="shared" si="11"/>
        <v>0</v>
      </c>
      <c r="AA13" s="23">
        <f t="shared" si="12"/>
        <v>0</v>
      </c>
      <c r="AB13" s="23">
        <f>IF($AA13=0,"",VLOOKUP($AA13,seznam!$A$2:$C$268,2))</f>
      </c>
      <c r="AC13" s="23">
        <f t="shared" si="13"/>
      </c>
      <c r="AD13" s="23">
        <f t="shared" si="14"/>
      </c>
      <c r="AE13" s="23">
        <f t="shared" si="15"/>
        <v>0</v>
      </c>
      <c r="AF13" s="23">
        <f t="shared" si="16"/>
        <v>0</v>
      </c>
      <c r="AH13" s="23">
        <f t="shared" si="17"/>
        <v>0</v>
      </c>
      <c r="AI13" s="23">
        <f t="shared" si="17"/>
        <v>0</v>
      </c>
      <c r="AJ13" s="23">
        <f t="shared" si="17"/>
        <v>0</v>
      </c>
      <c r="AK13" s="23">
        <f t="shared" si="17"/>
        <v>0</v>
      </c>
      <c r="AL13" s="23">
        <f t="shared" si="17"/>
        <v>0</v>
      </c>
      <c r="AN13" s="23" t="str">
        <f>CONCATENATE("&lt;/Table&gt;&lt;TD width=420&gt;&lt;Table&gt;")</f>
        <v>&lt;/Table&gt;&lt;TD width=420&gt;&lt;Table&gt;</v>
      </c>
      <c r="AO13" s="23" t="str">
        <f>CONCATENATE("&lt;TR&gt;&lt;TD&gt;",A13,"&lt;TD width=200&gt;",B13,"&lt;TD&gt;",C13,"&lt;TD&gt;",D13,"&lt;TD&gt;",E13,"&lt;TD&gt;",F13,"&lt;TD&gt;",G13,"&lt;TD&gt;",H13,"&lt;/TD&gt;&lt;/TR&gt;")</f>
        <v>&lt;TR&gt;&lt;TD&gt;51&lt;TD width=200&gt;Siska Tomáš (TTC Majcichov)&lt;TD&gt;0:3&lt;TD&gt;XXX&lt;TD&gt;0:3&lt;TD&gt;&lt;TD&gt;2&lt;TD&gt;3&lt;/TD&gt;&lt;/TR&gt;</v>
      </c>
      <c r="AP13" s="23" t="str">
        <f>CONCATENATE("&lt;TR&gt;&lt;TD&gt;",J13,"&lt;TD&gt;",K13,"&lt;/TD&gt;&lt;/TR&gt;")</f>
        <v>&lt;TR&gt;&lt;TD&gt;bye - Koldas Tomáš&lt;TD&gt;&lt;/TD&gt;&lt;/TR&gt;</v>
      </c>
    </row>
    <row r="14" spans="1:42" ht="16.5" customHeight="1">
      <c r="A14" s="26">
        <v>56</v>
      </c>
      <c r="B14" s="32" t="str">
        <f>IF($A14="","",CONCATENATE(VLOOKUP($A14,seznam!$A$2:$B$268,2)," (",VLOOKUP($A14,seznam!$A$2:$E$269,4),")"))</f>
        <v>Koldas Tomáš (Zlín )</v>
      </c>
      <c r="C14" s="36" t="str">
        <f>IF(Y16+Z16=0,"",CONCATENATE(Y16,":",Z16))</f>
        <v>0:3</v>
      </c>
      <c r="D14" s="27" t="str">
        <f>IF(Y12+Z12=0,"",CONCATENATE(Z12,":",Y12))</f>
        <v>3:0</v>
      </c>
      <c r="E14" s="27" t="s">
        <v>30</v>
      </c>
      <c r="F14" s="28">
        <f>IF(Y13+Z13=0,"",CONCATENATE(Z13,":",Y13))</f>
      </c>
      <c r="G14" s="34">
        <f>IF(AF12+AF13+AE16=0,"",AF12+AF13+AE16)</f>
        <v>3</v>
      </c>
      <c r="H14" s="28">
        <v>2</v>
      </c>
      <c r="J14" s="23" t="str">
        <f t="shared" si="8"/>
        <v>Davnarovich Pavel - Siska Tomáš</v>
      </c>
      <c r="K14" s="23" t="str">
        <f t="shared" si="9"/>
        <v>3 : 0 (5,1,6)</v>
      </c>
      <c r="M14" s="23" t="str">
        <f>CONCATENATE("2.st. ",úvod!$C$8," - ",M10)</f>
        <v>2.st. YOUNGER CADET BOYS - Skupina J</v>
      </c>
      <c r="N14" s="23">
        <f>A12</f>
        <v>2</v>
      </c>
      <c r="O14" s="23" t="str">
        <f>IF($N14=0,"bye",VLOOKUP($N14,seznam!$A$2:$C$268,2))</f>
        <v>Davnarovich Pavel</v>
      </c>
      <c r="P14" s="23" t="str">
        <f>IF($N14=0,"",VLOOKUP($N14,seznam!$A$2:$D$268,4))</f>
        <v>Belarus </v>
      </c>
      <c r="Q14" s="23">
        <f>A13</f>
        <v>51</v>
      </c>
      <c r="R14" s="23" t="str">
        <f>IF($Q14=0,"bye",VLOOKUP($Q14,seznam!$A$2:$C$268,2))</f>
        <v>Siska Tomáš</v>
      </c>
      <c r="S14" s="23" t="str">
        <f>IF($Q14=0,"",VLOOKUP($Q14,seznam!$A$2:$D$268,4))</f>
        <v>TTC Majcichov</v>
      </c>
      <c r="T14" s="58" t="s">
        <v>211</v>
      </c>
      <c r="U14" s="59" t="s">
        <v>205</v>
      </c>
      <c r="V14" s="59" t="s">
        <v>210</v>
      </c>
      <c r="W14" s="59"/>
      <c r="X14" s="60"/>
      <c r="Y14" s="23">
        <f t="shared" si="10"/>
        <v>3</v>
      </c>
      <c r="Z14" s="23">
        <f t="shared" si="11"/>
        <v>0</v>
      </c>
      <c r="AA14" s="23">
        <f t="shared" si="12"/>
        <v>2</v>
      </c>
      <c r="AB14" s="23" t="str">
        <f>IF($AA14=0,"",VLOOKUP($AA14,seznam!$A$2:$C$268,2))</f>
        <v>Davnarovich Pavel</v>
      </c>
      <c r="AC14" s="23" t="str">
        <f t="shared" si="13"/>
        <v>3:0 (5,1,6)</v>
      </c>
      <c r="AD14" s="23" t="str">
        <f t="shared" si="14"/>
        <v>3:0 (5,1,6)</v>
      </c>
      <c r="AE14" s="23">
        <f t="shared" si="15"/>
        <v>2</v>
      </c>
      <c r="AF14" s="23">
        <f t="shared" si="16"/>
        <v>1</v>
      </c>
      <c r="AH14" s="23">
        <f t="shared" si="17"/>
        <v>1</v>
      </c>
      <c r="AI14" s="23">
        <f t="shared" si="17"/>
        <v>1</v>
      </c>
      <c r="AJ14" s="23">
        <f t="shared" si="17"/>
        <v>1</v>
      </c>
      <c r="AK14" s="23">
        <f t="shared" si="17"/>
        <v>0</v>
      </c>
      <c r="AL14" s="23">
        <f t="shared" si="17"/>
        <v>0</v>
      </c>
      <c r="AN14" s="23" t="str">
        <f>CONCATENATE(AP11,AP12,AP13,AP14,AP15,AP16,)</f>
        <v>&lt;TR&gt;&lt;TD width=250&gt;Davnarovich Pavel - bye&lt;TD&gt;&lt;/TD&gt;&lt;/TR&gt;&lt;TR&gt;&lt;TD&gt;Siska Tomáš - Koldas Tomáš&lt;TD&gt;0 : 3 (-5,-8,-6)&lt;/TD&gt;&lt;/TR&gt;&lt;TR&gt;&lt;TD&gt;bye - Koldas Tomáš&lt;TD&gt;&lt;/TD&gt;&lt;/TR&gt;&lt;TR&gt;&lt;TD&gt;Davnarovich Pavel - Siska Tomáš&lt;TD&gt;3 : 0 (5,1,6)&lt;/TD&gt;&lt;/TR&gt;&lt;TR&gt;&lt;TD&gt;Siska Tomáš - bye&lt;TD&gt;&lt;/TD&gt;&lt;/TR&gt;&lt;TR&gt;&lt;TD&gt;Koldas Tomáš - Davnarovich Pavel&lt;TD&gt;0 : 3 (-9,-13,-7)&lt;/TD&gt;&lt;/TR&gt;</v>
      </c>
      <c r="AO14" s="23" t="str">
        <f>CONCATENATE("&lt;TR&gt;&lt;TD&gt;",A14,"&lt;TD width=200&gt;",B14,"&lt;TD&gt;",C14,"&lt;TD&gt;",D14,"&lt;TD&gt;",E14,"&lt;TD&gt;",F14,"&lt;TD&gt;",G14,"&lt;TD&gt;",H14,"&lt;/TD&gt;&lt;/TR&gt;")</f>
        <v>&lt;TR&gt;&lt;TD&gt;56&lt;TD width=200&gt;Koldas Tomáš (Zlín )&lt;TD&gt;0:3&lt;TD&gt;3:0&lt;TD&gt;XXX&lt;TD&gt;&lt;TD&gt;3&lt;TD&gt;2&lt;/TD&gt;&lt;/TR&gt;</v>
      </c>
      <c r="AP14" s="23" t="str">
        <f>CONCATENATE("&lt;TR&gt;&lt;TD&gt;",J14,"&lt;TD&gt;",K14,"&lt;/TD&gt;&lt;/TR&gt;")</f>
        <v>&lt;TR&gt;&lt;TD&gt;Davnarovich Pavel - Siska Tomáš&lt;TD&gt;3 : 0 (5,1,6)&lt;/TD&gt;&lt;/TR&gt;</v>
      </c>
    </row>
    <row r="15" spans="1:42" ht="16.5" customHeight="1" thickBot="1">
      <c r="A15" s="29"/>
      <c r="B15" s="33">
        <f>IF($A15="","",CONCATENATE(VLOOKUP($A15,seznam!$A$2:$B$268,2)," (",VLOOKUP($A15,seznam!$A$2:$E$269,4),")"))</f>
      </c>
      <c r="C15" s="37">
        <f>IF(Y11+Z11=0,"",CONCATENATE(Z11,":",Y11))</f>
      </c>
      <c r="D15" s="30">
        <f>IF(Y15+Z15=0,"",CONCATENATE(Z15,":",Y15))</f>
      </c>
      <c r="E15" s="30">
        <f>IF(Y13+Z13=0,"",CONCATENATE(Y13,":",Z13))</f>
      </c>
      <c r="F15" s="31" t="s">
        <v>30</v>
      </c>
      <c r="G15" s="35">
        <f>IF(AF11+AE13+AF15=0,"",AF11+AE13+AF15)</f>
      </c>
      <c r="H15" s="31"/>
      <c r="J15" s="23" t="str">
        <f t="shared" si="8"/>
        <v>Siska Tomáš - bye</v>
      </c>
      <c r="K15" s="23">
        <f t="shared" si="9"/>
      </c>
      <c r="M15" s="23" t="str">
        <f>CONCATENATE("2.st. ",úvod!$C$8," - ",M10)</f>
        <v>2.st. YOUNGER CADET BOYS - Skupina J</v>
      </c>
      <c r="N15" s="23">
        <f>A13</f>
        <v>51</v>
      </c>
      <c r="O15" s="23" t="str">
        <f>IF($N15=0,"bye",VLOOKUP($N15,seznam!$A$2:$C$268,2))</f>
        <v>Siska Tomáš</v>
      </c>
      <c r="P15" s="23" t="str">
        <f>IF($N15=0,"",VLOOKUP($N15,seznam!$A$2:$D$268,4))</f>
        <v>TTC Majcichov</v>
      </c>
      <c r="Q15" s="23">
        <f>A15</f>
        <v>0</v>
      </c>
      <c r="R15" s="23" t="str">
        <f>IF($Q15=0,"bye",VLOOKUP($Q15,seznam!$A$2:$C$268,2))</f>
        <v>bye</v>
      </c>
      <c r="S15" s="23">
        <f>IF($Q15=0,"",VLOOKUP($Q15,seznam!$A$2:$D$268,4))</f>
      </c>
      <c r="T15" s="58"/>
      <c r="U15" s="59"/>
      <c r="V15" s="59"/>
      <c r="W15" s="59"/>
      <c r="X15" s="60"/>
      <c r="Y15" s="23">
        <f t="shared" si="10"/>
        <v>0</v>
      </c>
      <c r="Z15" s="23">
        <f t="shared" si="11"/>
        <v>0</v>
      </c>
      <c r="AA15" s="23">
        <f t="shared" si="12"/>
        <v>0</v>
      </c>
      <c r="AB15" s="23">
        <f>IF($AA15=0,"",VLOOKUP($AA15,seznam!$A$2:$C$268,2))</f>
      </c>
      <c r="AC15" s="23">
        <f t="shared" si="13"/>
      </c>
      <c r="AD15" s="23">
        <f t="shared" si="14"/>
      </c>
      <c r="AE15" s="23">
        <f t="shared" si="15"/>
        <v>0</v>
      </c>
      <c r="AF15" s="23">
        <f t="shared" si="16"/>
        <v>0</v>
      </c>
      <c r="AH15" s="23">
        <f t="shared" si="17"/>
        <v>0</v>
      </c>
      <c r="AI15" s="23">
        <f t="shared" si="17"/>
        <v>0</v>
      </c>
      <c r="AJ15" s="23">
        <f t="shared" si="17"/>
        <v>0</v>
      </c>
      <c r="AK15" s="23">
        <f t="shared" si="17"/>
        <v>0</v>
      </c>
      <c r="AL15" s="23">
        <f t="shared" si="17"/>
        <v>0</v>
      </c>
      <c r="AN15" s="23" t="str">
        <f>CONCATENATE("&lt;/Table&gt;&lt;/TD&gt;&lt;/TR&gt;&lt;/Table&gt;&lt;P&gt;")</f>
        <v>&lt;/Table&gt;&lt;/TD&gt;&lt;/TR&gt;&lt;/Table&gt;&lt;P&gt;</v>
      </c>
      <c r="AO15" s="23" t="str">
        <f>CONCATENATE("&lt;TR&gt;&lt;TD&gt;",A15,"&lt;TD width=200&gt;",B15,"&lt;TD&gt;",C15,"&lt;TD&gt;",D15,"&lt;TD&gt;",E15,"&lt;TD&gt;",F15,"&lt;TD&gt;",G15,"&lt;TD&gt;",H15,"&lt;/TD&gt;&lt;/TR&gt;")</f>
        <v>&lt;TR&gt;&lt;TD&gt;&lt;TD width=200&gt;&lt;TD&gt;&lt;TD&gt;&lt;TD&gt;&lt;TD&gt;XXX&lt;TD&gt;&lt;TD&gt;&lt;/TD&gt;&lt;/TR&gt;</v>
      </c>
      <c r="AP15" s="23" t="str">
        <f>CONCATENATE("&lt;TR&gt;&lt;TD&gt;",J15,"&lt;TD&gt;",K15,"&lt;/TD&gt;&lt;/TR&gt;")</f>
        <v>&lt;TR&gt;&lt;TD&gt;Siska Tomáš - bye&lt;TD&gt;&lt;/TD&gt;&lt;/TR&gt;</v>
      </c>
    </row>
    <row r="16" spans="10:42" ht="16.5" customHeight="1" thickBot="1" thickTop="1">
      <c r="J16" s="23" t="str">
        <f t="shared" si="8"/>
        <v>Koldas Tomáš - Davnarovich Pavel</v>
      </c>
      <c r="K16" s="23" t="str">
        <f t="shared" si="9"/>
        <v>0 : 3 (-9,-13,-7)</v>
      </c>
      <c r="M16" s="23" t="str">
        <f>CONCATENATE("2.st. ",úvod!$C$8," - ",M10)</f>
        <v>2.st. YOUNGER CADET BOYS - Skupina J</v>
      </c>
      <c r="N16" s="23">
        <f>A14</f>
        <v>56</v>
      </c>
      <c r="O16" s="23" t="str">
        <f>IF($N16=0,"bye",VLOOKUP($N16,seznam!$A$2:$C$268,2))</f>
        <v>Koldas Tomáš</v>
      </c>
      <c r="P16" s="23" t="str">
        <f>IF($N16=0,"",VLOOKUP($N16,seznam!$A$2:$D$268,4))</f>
        <v>Zlín </v>
      </c>
      <c r="Q16" s="23">
        <f>A12</f>
        <v>2</v>
      </c>
      <c r="R16" s="23" t="str">
        <f>IF($Q16=0,"bye",VLOOKUP($Q16,seznam!$A$2:$C$268,2))</f>
        <v>Davnarovich Pavel</v>
      </c>
      <c r="S16" s="23" t="str">
        <f>IF($Q16=0,"",VLOOKUP($Q16,seznam!$A$2:$D$268,4))</f>
        <v>Belarus </v>
      </c>
      <c r="T16" s="61" t="s">
        <v>207</v>
      </c>
      <c r="U16" s="62" t="s">
        <v>217</v>
      </c>
      <c r="V16" s="62" t="s">
        <v>218</v>
      </c>
      <c r="W16" s="62"/>
      <c r="X16" s="63"/>
      <c r="Y16" s="23">
        <f t="shared" si="10"/>
        <v>0</v>
      </c>
      <c r="Z16" s="23">
        <f t="shared" si="11"/>
        <v>3</v>
      </c>
      <c r="AA16" s="23">
        <f t="shared" si="12"/>
        <v>2</v>
      </c>
      <c r="AB16" s="23" t="str">
        <f>IF($AA16=0,"",VLOOKUP($AA16,seznam!$A$2:$C$268,2))</f>
        <v>Davnarovich Pavel</v>
      </c>
      <c r="AC16" s="23" t="str">
        <f t="shared" si="13"/>
        <v>3:0 (9,13,7)</v>
      </c>
      <c r="AD16" s="23" t="str">
        <f t="shared" si="14"/>
        <v>3:0 (9,13,7)</v>
      </c>
      <c r="AE16" s="23">
        <f t="shared" si="15"/>
        <v>1</v>
      </c>
      <c r="AF16" s="23">
        <f t="shared" si="16"/>
        <v>2</v>
      </c>
      <c r="AH16" s="23">
        <f t="shared" si="17"/>
        <v>-1</v>
      </c>
      <c r="AI16" s="23">
        <f t="shared" si="17"/>
        <v>-1</v>
      </c>
      <c r="AJ16" s="23">
        <f t="shared" si="17"/>
        <v>-1</v>
      </c>
      <c r="AK16" s="23">
        <f t="shared" si="17"/>
        <v>0</v>
      </c>
      <c r="AL16" s="23">
        <f t="shared" si="17"/>
        <v>0</v>
      </c>
      <c r="AP16" s="23" t="str">
        <f>CONCATENATE("&lt;TR&gt;&lt;TD&gt;",J16,"&lt;TD&gt;",K16,"&lt;/TD&gt;&lt;/TR&gt;")</f>
        <v>&lt;TR&gt;&lt;TD&gt;Koldas Tomáš - Davnarovich Pavel&lt;TD&gt;0 : 3 (-9,-13,-7)&lt;/TD&gt;&lt;/TR&gt;</v>
      </c>
    </row>
    <row r="17" spans="13:40" ht="16.5" customHeight="1" thickBot="1" thickTop="1">
      <c r="M17" s="24" t="str">
        <f>B18</f>
        <v>Skupina K</v>
      </c>
      <c r="N17" s="24" t="s">
        <v>0</v>
      </c>
      <c r="O17" s="24" t="s">
        <v>1</v>
      </c>
      <c r="P17" s="24" t="s">
        <v>2</v>
      </c>
      <c r="Q17" s="24" t="s">
        <v>0</v>
      </c>
      <c r="R17" s="24" t="s">
        <v>3</v>
      </c>
      <c r="S17" s="24" t="s">
        <v>2</v>
      </c>
      <c r="T17" s="25" t="s">
        <v>4</v>
      </c>
      <c r="U17" s="25" t="s">
        <v>5</v>
      </c>
      <c r="V17" s="25" t="s">
        <v>6</v>
      </c>
      <c r="W17" s="25" t="s">
        <v>7</v>
      </c>
      <c r="X17" s="25" t="s">
        <v>8</v>
      </c>
      <c r="Y17" s="24" t="s">
        <v>9</v>
      </c>
      <c r="Z17" s="24" t="s">
        <v>10</v>
      </c>
      <c r="AA17" s="24" t="s">
        <v>11</v>
      </c>
      <c r="AN17" s="23" t="s">
        <v>16</v>
      </c>
    </row>
    <row r="18" spans="1:42" ht="16.5" customHeight="1" thickBot="1" thickTop="1">
      <c r="A18" s="44"/>
      <c r="B18" s="45" t="s">
        <v>196</v>
      </c>
      <c r="C18" s="46">
        <v>1</v>
      </c>
      <c r="D18" s="47">
        <v>2</v>
      </c>
      <c r="E18" s="47">
        <v>3</v>
      </c>
      <c r="F18" s="48">
        <v>4</v>
      </c>
      <c r="G18" s="49" t="s">
        <v>14</v>
      </c>
      <c r="H18" s="48" t="s">
        <v>15</v>
      </c>
      <c r="J18" s="23" t="str">
        <f aca="true" t="shared" si="18" ref="J18:J23">CONCATENATE(O18," - ",R18)</f>
        <v>Rukljecov Vladislav - Trúchlik Jozef</v>
      </c>
      <c r="K18" s="23" t="str">
        <f aca="true" t="shared" si="19" ref="K18:K23">IF(SUM(Y18:Z18)=0,AD18,CONCATENATE(Y18," : ",Z18," (",T18,",",U18,",",V18,IF(Y18+Z18&gt;3,",",""),W18,IF(Y18+Z18&gt;4,",",""),X18,")"))</f>
        <v>3 : 0 (4,3,8)</v>
      </c>
      <c r="M18" s="23" t="str">
        <f>CONCATENATE("2.st. ",úvod!$C$8," - ",M17)</f>
        <v>2.st. YOUNGER CADET BOYS - Skupina K</v>
      </c>
      <c r="N18" s="23">
        <f>A19</f>
        <v>3</v>
      </c>
      <c r="O18" s="23" t="str">
        <f>IF($N18=0,"bye",VLOOKUP($N18,seznam!$A$2:$C$268,2))</f>
        <v>Rukljecov Vladislav</v>
      </c>
      <c r="P18" s="23" t="str">
        <f>IF($N18=0,"",VLOOKUP($N18,seznam!$A$2:$D$268,4))</f>
        <v>Belarus </v>
      </c>
      <c r="Q18" s="23">
        <f>A22</f>
        <v>30</v>
      </c>
      <c r="R18" s="23" t="str">
        <f>IF($Q18=0,"bye",VLOOKUP($Q18,seznam!$A$2:$C$268,2))</f>
        <v>Trúchlik Jozef</v>
      </c>
      <c r="S18" s="23" t="str">
        <f>IF($Q18=0,"",VLOOKUP($Q18,seznam!$A$2:$D$268,4))</f>
        <v>MSK Čadca</v>
      </c>
      <c r="T18" s="55" t="s">
        <v>220</v>
      </c>
      <c r="U18" s="56" t="s">
        <v>212</v>
      </c>
      <c r="V18" s="56" t="s">
        <v>208</v>
      </c>
      <c r="W18" s="56"/>
      <c r="X18" s="57"/>
      <c r="Y18" s="23">
        <f aca="true" t="shared" si="20" ref="Y18:Y23">COUNTIF(AH18:AL18,"&gt;0")</f>
        <v>3</v>
      </c>
      <c r="Z18" s="23">
        <f>COUNTIF(AH18:AL18,"&lt;0")</f>
        <v>0</v>
      </c>
      <c r="AA18" s="23">
        <f aca="true" t="shared" si="21" ref="AA18:AA23">IF(Y18=Z18,0,IF(Y18&gt;Z18,N18,Q18))</f>
        <v>3</v>
      </c>
      <c r="AB18" s="23" t="str">
        <f>IF($AA18=0,"",VLOOKUP($AA18,seznam!$A$2:$C$268,2))</f>
        <v>Rukljecov Vladislav</v>
      </c>
      <c r="AC18" s="23" t="str">
        <f aca="true" t="shared" si="22" ref="AC18:AC23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(4,3,8)</v>
      </c>
      <c r="AD18" s="23" t="str">
        <f aca="true" t="shared" si="23" ref="AD18:AD23">IF(SUM(Y18:Z18)=0,"",AC18)</f>
        <v>3:0 (4,3,8)</v>
      </c>
      <c r="AE18" s="23">
        <f aca="true" t="shared" si="24" ref="AE18:AE23">IF(T18="",0,IF(Y18&gt;Z18,2,1))</f>
        <v>2</v>
      </c>
      <c r="AF18" s="23">
        <f aca="true" t="shared" si="25" ref="AF18:AF23">IF(T18="",0,IF(Z18&gt;Y18,2,1))</f>
        <v>1</v>
      </c>
      <c r="AH18" s="23">
        <f aca="true" t="shared" si="26" ref="AH18:AL23">IF(T18="",0,IF(MID(T18,1,1)="-",-1,1))</f>
        <v>1</v>
      </c>
      <c r="AI18" s="23">
        <f t="shared" si="26"/>
        <v>1</v>
      </c>
      <c r="AJ18" s="23">
        <f t="shared" si="26"/>
        <v>1</v>
      </c>
      <c r="AK18" s="23">
        <f t="shared" si="26"/>
        <v>0</v>
      </c>
      <c r="AL18" s="23">
        <f t="shared" si="26"/>
        <v>0</v>
      </c>
      <c r="AN18" s="23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K&lt;TH&gt;1&lt;TH&gt;2&lt;TH&gt;3&lt;TH&gt;4&lt;TH&gt;Body&lt;TH&gt;Pořadí&lt;/TH&gt;&lt;/TR&gt;</v>
      </c>
      <c r="AP18" s="23" t="str">
        <f>CONCATENATE("&lt;TR&gt;&lt;TD width=250&gt;",J18,"&lt;TD&gt;",K18,"&lt;/TD&gt;&lt;/TR&gt;")</f>
        <v>&lt;TR&gt;&lt;TD width=250&gt;Rukljecov Vladislav - Trúchlik Jozef&lt;TD&gt;3 : 0 (4,3,8)&lt;/TD&gt;&lt;/TR&gt;</v>
      </c>
    </row>
    <row r="19" spans="1:42" ht="16.5" customHeight="1" thickTop="1">
      <c r="A19" s="38">
        <v>3</v>
      </c>
      <c r="B19" s="39" t="str">
        <f>IF($A19="","",CONCATENATE(VLOOKUP($A19,seznam!$A$2:$B$268,2)," (",VLOOKUP($A19,seznam!$A$2:$E$269,4),")"))</f>
        <v>Rukljecov Vladislav (Belarus )</v>
      </c>
      <c r="C19" s="40" t="s">
        <v>30</v>
      </c>
      <c r="D19" s="41" t="str">
        <f>IF(Y21+Z21=0,"",CONCATENATE(Y21,":",Z21))</f>
        <v>3:0</v>
      </c>
      <c r="E19" s="41" t="str">
        <f>IF(Y23+Z23=0,"",CONCATENATE(Z23,":",Y23))</f>
        <v>3:0</v>
      </c>
      <c r="F19" s="42" t="str">
        <f>IF(Y18+Z18=0,"",CONCATENATE(Y18,":",Z18))</f>
        <v>3:0</v>
      </c>
      <c r="G19" s="43">
        <f>IF(AE18+AE21+AF23=0,"",AE18+AE21+AF23)</f>
        <v>6</v>
      </c>
      <c r="H19" s="42">
        <v>1</v>
      </c>
      <c r="J19" s="23" t="str">
        <f t="shared" si="18"/>
        <v>Nadav Lazimi - Dufek Jakub</v>
      </c>
      <c r="K19" s="23" t="str">
        <f t="shared" si="19"/>
        <v>1 : 3 (-6,6,-5,-9)</v>
      </c>
      <c r="M19" s="23" t="str">
        <f>CONCATENATE("2.st. ",úvod!$C$8," - ",M17)</f>
        <v>2.st. YOUNGER CADET BOYS - Skupina K</v>
      </c>
      <c r="N19" s="23">
        <f>A20</f>
        <v>20</v>
      </c>
      <c r="O19" s="23" t="str">
        <f>IF($N19=0,"bye",VLOOKUP($N19,seznam!$A$2:$C$268,2))</f>
        <v>Nadav Lazimi</v>
      </c>
      <c r="P19" s="23" t="str">
        <f>IF($N19=0,"",VLOOKUP($N19,seznam!$A$2:$D$268,4))</f>
        <v>Israel </v>
      </c>
      <c r="Q19" s="23">
        <f>A21</f>
        <v>59</v>
      </c>
      <c r="R19" s="23" t="str">
        <f>IF($Q19=0,"bye",VLOOKUP($Q19,seznam!$A$2:$C$268,2))</f>
        <v>Dufek Jakub</v>
      </c>
      <c r="S19" s="23" t="str">
        <f>IF($Q19=0,"",VLOOKUP($Q19,seznam!$A$2:$D$268,4))</f>
        <v>Zlín </v>
      </c>
      <c r="T19" s="58" t="s">
        <v>221</v>
      </c>
      <c r="U19" s="59" t="s">
        <v>210</v>
      </c>
      <c r="V19" s="59" t="s">
        <v>224</v>
      </c>
      <c r="W19" s="59" t="s">
        <v>207</v>
      </c>
      <c r="X19" s="60"/>
      <c r="Y19" s="23">
        <f t="shared" si="20"/>
        <v>1</v>
      </c>
      <c r="Z19" s="23">
        <f>COUNTIF(AH19:AL19,"&lt;0")</f>
        <v>3</v>
      </c>
      <c r="AA19" s="23">
        <f t="shared" si="21"/>
        <v>59</v>
      </c>
      <c r="AB19" s="23" t="str">
        <f>IF($AA19=0,"",VLOOKUP($AA19,seznam!$A$2:$C$268,2))</f>
        <v>Dufek Jakub</v>
      </c>
      <c r="AC19" s="23" t="str">
        <f t="shared" si="22"/>
        <v>3:1 (6,-6,5,9)</v>
      </c>
      <c r="AD19" s="23" t="str">
        <f t="shared" si="23"/>
        <v>3:1 (6,-6,5,9)</v>
      </c>
      <c r="AE19" s="23">
        <f t="shared" si="24"/>
        <v>1</v>
      </c>
      <c r="AF19" s="23">
        <f t="shared" si="25"/>
        <v>2</v>
      </c>
      <c r="AH19" s="23">
        <f t="shared" si="26"/>
        <v>-1</v>
      </c>
      <c r="AI19" s="23">
        <f t="shared" si="26"/>
        <v>1</v>
      </c>
      <c r="AJ19" s="23">
        <f t="shared" si="26"/>
        <v>-1</v>
      </c>
      <c r="AK19" s="23">
        <f t="shared" si="26"/>
        <v>-1</v>
      </c>
      <c r="AL19" s="23">
        <f t="shared" si="26"/>
        <v>0</v>
      </c>
      <c r="AN19" s="23" t="str">
        <f>CONCATENATE(AO19,AO20,AO21,AO22,)</f>
        <v>&lt;TR&gt;&lt;TD&gt;3&lt;TD width=200&gt;Rukljecov Vladislav (Belarus )&lt;TD&gt;XXX&lt;TD&gt;3:0&lt;TD&gt;3:0&lt;TD&gt;3:0&lt;TD&gt;6&lt;TD&gt;1&lt;/TD&gt;&lt;/TR&gt;&lt;TR&gt;&lt;TD&gt;20&lt;TD width=200&gt;Nadav Lazimi (Israel )&lt;TD&gt;0:3&lt;TD&gt;XXX&lt;TD&gt;1:3&lt;TD&gt;3:0&lt;TD&gt;4&lt;TD&gt;3&lt;/TD&gt;&lt;/TR&gt;&lt;TR&gt;&lt;TD&gt;59&lt;TD width=200&gt;Dufek Jakub (Zlín )&lt;TD&gt;0:3&lt;TD&gt;3:1&lt;TD&gt;XXX&lt;TD&gt;3:2&lt;TD&gt;5&lt;TD&gt;2&lt;/TD&gt;&lt;/TR&gt;&lt;TR&gt;&lt;TD&gt;30&lt;TD width=200&gt;Trúchlik Jozef (MSK Čadca)&lt;TD&gt;0:3&lt;TD&gt;0:3&lt;TD&gt;2:3&lt;TD&gt;XXX&lt;TD&gt;3&lt;TD&gt;4&lt;/TD&gt;&lt;/TR&gt;</v>
      </c>
      <c r="AO19" s="23" t="str">
        <f>CONCATENATE("&lt;TR&gt;&lt;TD&gt;",A19,"&lt;TD width=200&gt;",B19,"&lt;TD&gt;",C19,"&lt;TD&gt;",D19,"&lt;TD&gt;",E19,"&lt;TD&gt;",F19,"&lt;TD&gt;",G19,"&lt;TD&gt;",H19,"&lt;/TD&gt;&lt;/TR&gt;")</f>
        <v>&lt;TR&gt;&lt;TD&gt;3&lt;TD width=200&gt;Rukljecov Vladislav (Belarus )&lt;TD&gt;XXX&lt;TD&gt;3:0&lt;TD&gt;3:0&lt;TD&gt;3:0&lt;TD&gt;6&lt;TD&gt;1&lt;/TD&gt;&lt;/TR&gt;</v>
      </c>
      <c r="AP19" s="23" t="str">
        <f>CONCATENATE("&lt;TR&gt;&lt;TD&gt;",J19,"&lt;TD&gt;",K19,"&lt;/TD&gt;&lt;/TR&gt;")</f>
        <v>&lt;TR&gt;&lt;TD&gt;Nadav Lazimi - Dufek Jakub&lt;TD&gt;1 : 3 (-6,6,-5,-9)&lt;/TD&gt;&lt;/TR&gt;</v>
      </c>
    </row>
    <row r="20" spans="1:42" ht="16.5" customHeight="1">
      <c r="A20" s="26">
        <v>20</v>
      </c>
      <c r="B20" s="32" t="str">
        <f>IF($A20="","",CONCATENATE(VLOOKUP($A20,seznam!$A$2:$B$268,2)," (",VLOOKUP($A20,seznam!$A$2:$E$269,4),")"))</f>
        <v>Nadav Lazimi (Israel )</v>
      </c>
      <c r="C20" s="36" t="str">
        <f>IF(Y21+Z21=0,"",CONCATENATE(Z21,":",Y21))</f>
        <v>0:3</v>
      </c>
      <c r="D20" s="27" t="s">
        <v>30</v>
      </c>
      <c r="E20" s="27" t="str">
        <f>IF(Y19+Z19=0,"",CONCATENATE(Y19,":",Z19))</f>
        <v>1:3</v>
      </c>
      <c r="F20" s="28" t="str">
        <f>IF(Y22+Z22=0,"",CONCATENATE(Y22,":",Z22))</f>
        <v>3:0</v>
      </c>
      <c r="G20" s="34">
        <f>IF(AE19+AF21+AE22=0,"",AE19+AF21+AE22)</f>
        <v>4</v>
      </c>
      <c r="H20" s="28">
        <v>3</v>
      </c>
      <c r="J20" s="23" t="str">
        <f t="shared" si="18"/>
        <v>Trúchlik Jozef - Dufek Jakub</v>
      </c>
      <c r="K20" s="23" t="str">
        <f t="shared" si="19"/>
        <v>2 : 3 (-3,10,11,-7,-5)</v>
      </c>
      <c r="M20" s="23" t="str">
        <f>CONCATENATE("2.st. ",úvod!$C$8," - ",M17)</f>
        <v>2.st. YOUNGER CADET BOYS - Skupina K</v>
      </c>
      <c r="N20" s="23">
        <f>A22</f>
        <v>30</v>
      </c>
      <c r="O20" s="23" t="str">
        <f>IF($N20=0,"bye",VLOOKUP($N20,seznam!$A$2:$C$268,2))</f>
        <v>Trúchlik Jozef</v>
      </c>
      <c r="P20" s="23" t="str">
        <f>IF($N20=0,"",VLOOKUP($N20,seznam!$A$2:$D$268,4))</f>
        <v>MSK Čadca</v>
      </c>
      <c r="Q20" s="23">
        <f>A21</f>
        <v>59</v>
      </c>
      <c r="R20" s="23" t="str">
        <f>IF($Q20=0,"bye",VLOOKUP($Q20,seznam!$A$2:$C$268,2))</f>
        <v>Dufek Jakub</v>
      </c>
      <c r="S20" s="23" t="str">
        <f>IF($Q20=0,"",VLOOKUP($Q20,seznam!$A$2:$D$268,4))</f>
        <v>Zlín </v>
      </c>
      <c r="T20" s="58" t="s">
        <v>228</v>
      </c>
      <c r="U20" s="59" t="s">
        <v>222</v>
      </c>
      <c r="V20" s="59" t="s">
        <v>216</v>
      </c>
      <c r="W20" s="59" t="s">
        <v>218</v>
      </c>
      <c r="X20" s="60" t="s">
        <v>224</v>
      </c>
      <c r="Y20" s="23">
        <f t="shared" si="20"/>
        <v>2</v>
      </c>
      <c r="Z20" s="23">
        <f>COUNTIF(AH20:AL20,"&lt;0")</f>
        <v>3</v>
      </c>
      <c r="AA20" s="23">
        <f t="shared" si="21"/>
        <v>59</v>
      </c>
      <c r="AB20" s="23" t="str">
        <f>IF($AA20=0,"",VLOOKUP($AA20,seznam!$A$2:$C$268,2))</f>
        <v>Dufek Jakub</v>
      </c>
      <c r="AC20" s="23" t="str">
        <f t="shared" si="22"/>
        <v>3:2 (3,-10,-11,7,5)</v>
      </c>
      <c r="AD20" s="23" t="str">
        <f t="shared" si="23"/>
        <v>3:2 (3,-10,-11,7,5)</v>
      </c>
      <c r="AE20" s="23">
        <f t="shared" si="24"/>
        <v>1</v>
      </c>
      <c r="AF20" s="23">
        <f t="shared" si="25"/>
        <v>2</v>
      </c>
      <c r="AH20" s="23">
        <f t="shared" si="26"/>
        <v>-1</v>
      </c>
      <c r="AI20" s="23">
        <f t="shared" si="26"/>
        <v>1</v>
      </c>
      <c r="AJ20" s="23">
        <f t="shared" si="26"/>
        <v>1</v>
      </c>
      <c r="AK20" s="23">
        <f t="shared" si="26"/>
        <v>-1</v>
      </c>
      <c r="AL20" s="23">
        <f t="shared" si="26"/>
        <v>-1</v>
      </c>
      <c r="AN20" s="23" t="str">
        <f>CONCATENATE("&lt;/Table&gt;&lt;TD width=420&gt;&lt;Table&gt;")</f>
        <v>&lt;/Table&gt;&lt;TD width=420&gt;&lt;Table&gt;</v>
      </c>
      <c r="AO20" s="23" t="str">
        <f>CONCATENATE("&lt;TR&gt;&lt;TD&gt;",A20,"&lt;TD width=200&gt;",B20,"&lt;TD&gt;",C20,"&lt;TD&gt;",D20,"&lt;TD&gt;",E20,"&lt;TD&gt;",F20,"&lt;TD&gt;",G20,"&lt;TD&gt;",H20,"&lt;/TD&gt;&lt;/TR&gt;")</f>
        <v>&lt;TR&gt;&lt;TD&gt;20&lt;TD width=200&gt;Nadav Lazimi (Israel )&lt;TD&gt;0:3&lt;TD&gt;XXX&lt;TD&gt;1:3&lt;TD&gt;3:0&lt;TD&gt;4&lt;TD&gt;3&lt;/TD&gt;&lt;/TR&gt;</v>
      </c>
      <c r="AP20" s="23" t="str">
        <f>CONCATENATE("&lt;TR&gt;&lt;TD&gt;",J20,"&lt;TD&gt;",K20,"&lt;/TD&gt;&lt;/TR&gt;")</f>
        <v>&lt;TR&gt;&lt;TD&gt;Trúchlik Jozef - Dufek Jakub&lt;TD&gt;2 : 3 (-3,10,11,-7,-5)&lt;/TD&gt;&lt;/TR&gt;</v>
      </c>
    </row>
    <row r="21" spans="1:42" ht="16.5" customHeight="1">
      <c r="A21" s="26">
        <v>59</v>
      </c>
      <c r="B21" s="32" t="str">
        <f>IF($A21="","",CONCATENATE(VLOOKUP($A21,seznam!$A$2:$B$268,2)," (",VLOOKUP($A21,seznam!$A$2:$E$269,4),")"))</f>
        <v>Dufek Jakub (Zlín )</v>
      </c>
      <c r="C21" s="36" t="str">
        <f>IF(Y23+Z23=0,"",CONCATENATE(Y23,":",Z23))</f>
        <v>0:3</v>
      </c>
      <c r="D21" s="27" t="str">
        <f>IF(Y19+Z19=0,"",CONCATENATE(Z19,":",Y19))</f>
        <v>3:1</v>
      </c>
      <c r="E21" s="27" t="s">
        <v>30</v>
      </c>
      <c r="F21" s="28" t="str">
        <f>IF(Y20+Z20=0,"",CONCATENATE(Z20,":",Y20))</f>
        <v>3:2</v>
      </c>
      <c r="G21" s="34">
        <f>IF(AF19+AF20+AE23=0,"",AF19+AF20+AE23)</f>
        <v>5</v>
      </c>
      <c r="H21" s="28">
        <v>2</v>
      </c>
      <c r="J21" s="23" t="str">
        <f t="shared" si="18"/>
        <v>Rukljecov Vladislav - Nadav Lazimi</v>
      </c>
      <c r="K21" s="23" t="str">
        <f t="shared" si="19"/>
        <v>3 : 0 (2,7,11)</v>
      </c>
      <c r="M21" s="23" t="str">
        <f>CONCATENATE("2.st. ",úvod!$C$8," - ",M17)</f>
        <v>2.st. YOUNGER CADET BOYS - Skupina K</v>
      </c>
      <c r="N21" s="23">
        <f>A19</f>
        <v>3</v>
      </c>
      <c r="O21" s="23" t="str">
        <f>IF($N21=0,"bye",VLOOKUP($N21,seznam!$A$2:$C$268,2))</f>
        <v>Rukljecov Vladislav</v>
      </c>
      <c r="P21" s="23" t="str">
        <f>IF($N21=0,"",VLOOKUP($N21,seznam!$A$2:$D$268,4))</f>
        <v>Belarus </v>
      </c>
      <c r="Q21" s="23">
        <f>A20</f>
        <v>20</v>
      </c>
      <c r="R21" s="23" t="str">
        <f>IF($Q21=0,"bye",VLOOKUP($Q21,seznam!$A$2:$C$268,2))</f>
        <v>Nadav Lazimi</v>
      </c>
      <c r="S21" s="23" t="str">
        <f>IF($Q21=0,"",VLOOKUP($Q21,seznam!$A$2:$D$268,4))</f>
        <v>Israel </v>
      </c>
      <c r="T21" s="58" t="s">
        <v>206</v>
      </c>
      <c r="U21" s="59" t="s">
        <v>209</v>
      </c>
      <c r="V21" s="59" t="s">
        <v>216</v>
      </c>
      <c r="W21" s="59"/>
      <c r="X21" s="60"/>
      <c r="Y21" s="23">
        <f t="shared" si="20"/>
        <v>3</v>
      </c>
      <c r="Z21" s="23">
        <f>COUNTIF(AH21:AL21,"&lt;0")</f>
        <v>0</v>
      </c>
      <c r="AA21" s="23">
        <f t="shared" si="21"/>
        <v>3</v>
      </c>
      <c r="AB21" s="23" t="str">
        <f>IF($AA21=0,"",VLOOKUP($AA21,seznam!$A$2:$C$268,2))</f>
        <v>Rukljecov Vladislav</v>
      </c>
      <c r="AC21" s="23" t="str">
        <f t="shared" si="22"/>
        <v>3:0 (2,7,11)</v>
      </c>
      <c r="AD21" s="23" t="str">
        <f t="shared" si="23"/>
        <v>3:0 (2,7,11)</v>
      </c>
      <c r="AE21" s="23">
        <f t="shared" si="24"/>
        <v>2</v>
      </c>
      <c r="AF21" s="23">
        <f t="shared" si="25"/>
        <v>1</v>
      </c>
      <c r="AH21" s="23">
        <f t="shared" si="26"/>
        <v>1</v>
      </c>
      <c r="AI21" s="23">
        <f t="shared" si="26"/>
        <v>1</v>
      </c>
      <c r="AJ21" s="23">
        <f t="shared" si="26"/>
        <v>1</v>
      </c>
      <c r="AK21" s="23">
        <f t="shared" si="26"/>
        <v>0</v>
      </c>
      <c r="AL21" s="23">
        <f t="shared" si="26"/>
        <v>0</v>
      </c>
      <c r="AN21" s="23" t="str">
        <f>CONCATENATE(AP18,AP19,AP20,AP21,AP22,AP23,)</f>
        <v>&lt;TR&gt;&lt;TD width=250&gt;Rukljecov Vladislav - Trúchlik Jozef&lt;TD&gt;3 : 0 (4,3,8)&lt;/TD&gt;&lt;/TR&gt;&lt;TR&gt;&lt;TD&gt;Nadav Lazimi - Dufek Jakub&lt;TD&gt;1 : 3 (-6,6,-5,-9)&lt;/TD&gt;&lt;/TR&gt;&lt;TR&gt;&lt;TD&gt;Trúchlik Jozef - Dufek Jakub&lt;TD&gt;2 : 3 (-3,10,11,-7,-5)&lt;/TD&gt;&lt;/TR&gt;&lt;TR&gt;&lt;TD&gt;Rukljecov Vladislav - Nadav Lazimi&lt;TD&gt;3 : 0 (2,7,11)&lt;/TD&gt;&lt;/TR&gt;&lt;TR&gt;&lt;TD&gt;Nadav Lazimi - Trúchlik Jozef&lt;TD&gt;3 : 0 (9,3,1)&lt;/TD&gt;&lt;/TR&gt;&lt;TR&gt;&lt;TD&gt;Dufek Jakub - Rukljecov Vladislav&lt;TD&gt;0 : 3 (-8,-7,-4)&lt;/TD&gt;&lt;/TR&gt;</v>
      </c>
      <c r="AO21" s="23" t="str">
        <f>CONCATENATE("&lt;TR&gt;&lt;TD&gt;",A21,"&lt;TD width=200&gt;",B21,"&lt;TD&gt;",C21,"&lt;TD&gt;",D21,"&lt;TD&gt;",E21,"&lt;TD&gt;",F21,"&lt;TD&gt;",G21,"&lt;TD&gt;",H21,"&lt;/TD&gt;&lt;/TR&gt;")</f>
        <v>&lt;TR&gt;&lt;TD&gt;59&lt;TD width=200&gt;Dufek Jakub (Zlín )&lt;TD&gt;0:3&lt;TD&gt;3:1&lt;TD&gt;XXX&lt;TD&gt;3:2&lt;TD&gt;5&lt;TD&gt;2&lt;/TD&gt;&lt;/TR&gt;</v>
      </c>
      <c r="AP21" s="23" t="str">
        <f>CONCATENATE("&lt;TR&gt;&lt;TD&gt;",J21,"&lt;TD&gt;",K21,"&lt;/TD&gt;&lt;/TR&gt;")</f>
        <v>&lt;TR&gt;&lt;TD&gt;Rukljecov Vladislav - Nadav Lazimi&lt;TD&gt;3 : 0 (2,7,11)&lt;/TD&gt;&lt;/TR&gt;</v>
      </c>
    </row>
    <row r="22" spans="1:42" ht="16.5" customHeight="1" thickBot="1">
      <c r="A22" s="29">
        <v>30</v>
      </c>
      <c r="B22" s="33" t="str">
        <f>IF($A22="","",CONCATENATE(VLOOKUP($A22,seznam!$A$2:$B$268,2)," (",VLOOKUP($A22,seznam!$A$2:$E$269,4),")"))</f>
        <v>Trúchlik Jozef (MSK Čadca)</v>
      </c>
      <c r="C22" s="37" t="str">
        <f>IF(Y18+Z18=0,"",CONCATENATE(Z18,":",Y18))</f>
        <v>0:3</v>
      </c>
      <c r="D22" s="30" t="str">
        <f>IF(Y22+Z22=0,"",CONCATENATE(Z22,":",Y22))</f>
        <v>0:3</v>
      </c>
      <c r="E22" s="30" t="str">
        <f>IF(Y20+Z20=0,"",CONCATENATE(Y20,":",Z20))</f>
        <v>2:3</v>
      </c>
      <c r="F22" s="31" t="s">
        <v>30</v>
      </c>
      <c r="G22" s="35">
        <f>IF(AF18+AE20+AF22=0,"",AF18+AE20+AF22)</f>
        <v>3</v>
      </c>
      <c r="H22" s="31">
        <v>4</v>
      </c>
      <c r="J22" s="23" t="str">
        <f t="shared" si="18"/>
        <v>Nadav Lazimi - Trúchlik Jozef</v>
      </c>
      <c r="K22" s="23" t="str">
        <f t="shared" si="19"/>
        <v>3 : 0 (9,3,1)</v>
      </c>
      <c r="M22" s="23" t="str">
        <f>CONCATENATE("2.st. ",úvod!$C$8," - ",M17)</f>
        <v>2.st. YOUNGER CADET BOYS - Skupina K</v>
      </c>
      <c r="N22" s="23">
        <f>A20</f>
        <v>20</v>
      </c>
      <c r="O22" s="23" t="str">
        <f>IF($N22=0,"bye",VLOOKUP($N22,seznam!$A$2:$C$268,2))</f>
        <v>Nadav Lazimi</v>
      </c>
      <c r="P22" s="23" t="str">
        <f>IF($N22=0,"",VLOOKUP($N22,seznam!$A$2:$D$268,4))</f>
        <v>Israel </v>
      </c>
      <c r="Q22" s="23">
        <f>A22</f>
        <v>30</v>
      </c>
      <c r="R22" s="23" t="str">
        <f>IF($Q22=0,"bye",VLOOKUP($Q22,seznam!$A$2:$C$268,2))</f>
        <v>Trúchlik Jozef</v>
      </c>
      <c r="S22" s="23" t="str">
        <f>IF($Q22=0,"",VLOOKUP($Q22,seznam!$A$2:$D$268,4))</f>
        <v>MSK Čadca</v>
      </c>
      <c r="T22" s="58" t="s">
        <v>213</v>
      </c>
      <c r="U22" s="59" t="s">
        <v>212</v>
      </c>
      <c r="V22" s="59" t="s">
        <v>205</v>
      </c>
      <c r="W22" s="59"/>
      <c r="X22" s="60"/>
      <c r="Y22" s="23">
        <f t="shared" si="20"/>
        <v>3</v>
      </c>
      <c r="Z22" s="23">
        <f>COUNTIF(AH22:AL22,"&lt;0")</f>
        <v>0</v>
      </c>
      <c r="AA22" s="23">
        <f t="shared" si="21"/>
        <v>20</v>
      </c>
      <c r="AB22" s="23" t="str">
        <f>IF($AA22=0,"",VLOOKUP($AA22,seznam!$A$2:$C$268,2))</f>
        <v>Nadav Lazimi</v>
      </c>
      <c r="AC22" s="23" t="str">
        <f t="shared" si="22"/>
        <v>3:0 (9,3,1)</v>
      </c>
      <c r="AD22" s="23" t="str">
        <f t="shared" si="23"/>
        <v>3:0 (9,3,1)</v>
      </c>
      <c r="AE22" s="23">
        <f t="shared" si="24"/>
        <v>2</v>
      </c>
      <c r="AF22" s="23">
        <f t="shared" si="25"/>
        <v>1</v>
      </c>
      <c r="AH22" s="23">
        <f t="shared" si="26"/>
        <v>1</v>
      </c>
      <c r="AI22" s="23">
        <f t="shared" si="26"/>
        <v>1</v>
      </c>
      <c r="AJ22" s="23">
        <f t="shared" si="26"/>
        <v>1</v>
      </c>
      <c r="AK22" s="23">
        <f t="shared" si="26"/>
        <v>0</v>
      </c>
      <c r="AL22" s="23">
        <f t="shared" si="26"/>
        <v>0</v>
      </c>
      <c r="AN22" s="23" t="str">
        <f>CONCATENATE("&lt;/Table&gt;&lt;/TD&gt;&lt;/TR&gt;&lt;/Table&gt;&lt;P&gt;")</f>
        <v>&lt;/Table&gt;&lt;/TD&gt;&lt;/TR&gt;&lt;/Table&gt;&lt;P&gt;</v>
      </c>
      <c r="AO22" s="23" t="str">
        <f>CONCATENATE("&lt;TR&gt;&lt;TD&gt;",A22,"&lt;TD width=200&gt;",B22,"&lt;TD&gt;",C22,"&lt;TD&gt;",D22,"&lt;TD&gt;",E22,"&lt;TD&gt;",F22,"&lt;TD&gt;",G22,"&lt;TD&gt;",H22,"&lt;/TD&gt;&lt;/TR&gt;")</f>
        <v>&lt;TR&gt;&lt;TD&gt;30&lt;TD width=200&gt;Trúchlik Jozef (MSK Čadca)&lt;TD&gt;0:3&lt;TD&gt;0:3&lt;TD&gt;2:3&lt;TD&gt;XXX&lt;TD&gt;3&lt;TD&gt;4&lt;/TD&gt;&lt;/TR&gt;</v>
      </c>
      <c r="AP22" s="23" t="str">
        <f>CONCATENATE("&lt;TR&gt;&lt;TD&gt;",J22,"&lt;TD&gt;",K22,"&lt;/TD&gt;&lt;/TR&gt;")</f>
        <v>&lt;TR&gt;&lt;TD&gt;Nadav Lazimi - Trúchlik Jozef&lt;TD&gt;3 : 0 (9,3,1)&lt;/TD&gt;&lt;/TR&gt;</v>
      </c>
    </row>
    <row r="23" spans="10:42" ht="16.5" customHeight="1" thickBot="1" thickTop="1">
      <c r="J23" s="23" t="str">
        <f t="shared" si="18"/>
        <v>Dufek Jakub - Rukljecov Vladislav</v>
      </c>
      <c r="K23" s="23" t="str">
        <f t="shared" si="19"/>
        <v>0 : 3 (-8,-7,-4)</v>
      </c>
      <c r="M23" s="23" t="str">
        <f>CONCATENATE("2.st. ",úvod!$C$8," - ",M17)</f>
        <v>2.st. YOUNGER CADET BOYS - Skupina K</v>
      </c>
      <c r="N23" s="23">
        <f>A21</f>
        <v>59</v>
      </c>
      <c r="O23" s="23" t="str">
        <f>IF($N23=0,"bye",VLOOKUP($N23,seznam!$A$2:$C$268,2))</f>
        <v>Dufek Jakub</v>
      </c>
      <c r="P23" s="23" t="str">
        <f>IF($N23=0,"",VLOOKUP($N23,seznam!$A$2:$D$268,4))</f>
        <v>Zlín </v>
      </c>
      <c r="Q23" s="23">
        <f>A19</f>
        <v>3</v>
      </c>
      <c r="R23" s="23" t="str">
        <f>IF($Q23=0,"bye",VLOOKUP($Q23,seznam!$A$2:$C$268,2))</f>
        <v>Rukljecov Vladislav</v>
      </c>
      <c r="S23" s="23" t="str">
        <f>IF($Q23=0,"",VLOOKUP($Q23,seznam!$A$2:$D$268,4))</f>
        <v>Belarus </v>
      </c>
      <c r="T23" s="61" t="s">
        <v>215</v>
      </c>
      <c r="U23" s="62" t="s">
        <v>218</v>
      </c>
      <c r="V23" s="62" t="s">
        <v>225</v>
      </c>
      <c r="W23" s="62"/>
      <c r="X23" s="63"/>
      <c r="Y23" s="23">
        <f t="shared" si="20"/>
        <v>0</v>
      </c>
      <c r="Z23" s="23">
        <v>3</v>
      </c>
      <c r="AA23" s="23">
        <f t="shared" si="21"/>
        <v>3</v>
      </c>
      <c r="AB23" s="23" t="str">
        <f>IF($AA23=0,"",VLOOKUP($AA23,seznam!$A$2:$C$268,2))</f>
        <v>Rukljecov Vladislav</v>
      </c>
      <c r="AC23" s="23" t="str">
        <f t="shared" si="22"/>
        <v>3:0 (8,7,4)</v>
      </c>
      <c r="AD23" s="23" t="str">
        <f t="shared" si="23"/>
        <v>3:0 (8,7,4)</v>
      </c>
      <c r="AE23" s="23">
        <f t="shared" si="24"/>
        <v>1</v>
      </c>
      <c r="AF23" s="23">
        <f t="shared" si="25"/>
        <v>2</v>
      </c>
      <c r="AH23" s="23">
        <f t="shared" si="26"/>
        <v>-1</v>
      </c>
      <c r="AI23" s="23">
        <f t="shared" si="26"/>
        <v>-1</v>
      </c>
      <c r="AJ23" s="23">
        <f t="shared" si="26"/>
        <v>-1</v>
      </c>
      <c r="AK23" s="23">
        <f t="shared" si="26"/>
        <v>0</v>
      </c>
      <c r="AL23" s="23">
        <f t="shared" si="26"/>
        <v>0</v>
      </c>
      <c r="AP23" s="23" t="str">
        <f>CONCATENATE("&lt;TR&gt;&lt;TD&gt;",J23,"&lt;TD&gt;",K23,"&lt;/TD&gt;&lt;/TR&gt;")</f>
        <v>&lt;TR&gt;&lt;TD&gt;Dufek Jakub - Rukljecov Vladislav&lt;TD&gt;0 : 3 (-8,-7,-4)&lt;/TD&gt;&lt;/TR&gt;</v>
      </c>
    </row>
    <row r="24" spans="13:40" ht="16.5" customHeight="1" thickBot="1" thickTop="1">
      <c r="M24" s="24" t="str">
        <f>B25</f>
        <v>Skupina L</v>
      </c>
      <c r="N24" s="24" t="s">
        <v>0</v>
      </c>
      <c r="O24" s="24" t="s">
        <v>1</v>
      </c>
      <c r="P24" s="24" t="s">
        <v>2</v>
      </c>
      <c r="Q24" s="24" t="s">
        <v>0</v>
      </c>
      <c r="R24" s="24" t="s">
        <v>3</v>
      </c>
      <c r="S24" s="24" t="s">
        <v>2</v>
      </c>
      <c r="T24" s="25" t="s">
        <v>4</v>
      </c>
      <c r="U24" s="25" t="s">
        <v>5</v>
      </c>
      <c r="V24" s="25" t="s">
        <v>6</v>
      </c>
      <c r="W24" s="25" t="s">
        <v>7</v>
      </c>
      <c r="X24" s="25" t="s">
        <v>8</v>
      </c>
      <c r="Y24" s="24" t="s">
        <v>9</v>
      </c>
      <c r="Z24" s="24" t="s">
        <v>10</v>
      </c>
      <c r="AA24" s="24" t="s">
        <v>11</v>
      </c>
      <c r="AN24" s="23" t="s">
        <v>16</v>
      </c>
    </row>
    <row r="25" spans="1:42" ht="16.5" customHeight="1" thickBot="1" thickTop="1">
      <c r="A25" s="44"/>
      <c r="B25" s="45" t="s">
        <v>197</v>
      </c>
      <c r="C25" s="46">
        <v>1</v>
      </c>
      <c r="D25" s="47">
        <v>2</v>
      </c>
      <c r="E25" s="47">
        <v>3</v>
      </c>
      <c r="F25" s="48">
        <v>4</v>
      </c>
      <c r="G25" s="49" t="s">
        <v>14</v>
      </c>
      <c r="H25" s="48" t="s">
        <v>15</v>
      </c>
      <c r="J25" s="23" t="str">
        <f aca="true" t="shared" si="27" ref="J25:J30">CONCATENATE(O25," - ",R25)</f>
        <v>Genin Valentin - Šálený David</v>
      </c>
      <c r="K25" s="23" t="str">
        <f aca="true" t="shared" si="28" ref="K25:K30">IF(SUM(Y25:Z25)=0,AD25,CONCATENATE(Y25," : ",Z25," (",T25,",",U25,",",V25,IF(Y25+Z25&gt;3,",",""),W25,IF(Y25+Z25&gt;4,",",""),X25,")"))</f>
        <v>3 : 0 (5,5,10)</v>
      </c>
      <c r="M25" s="23" t="str">
        <f>CONCATENATE("2.st. ",úvod!$C$8," - ",M24)</f>
        <v>2.st. YOUNGER CADET BOYS - Skupina L</v>
      </c>
      <c r="N25" s="23">
        <f>A26</f>
        <v>1</v>
      </c>
      <c r="O25" s="23" t="str">
        <f>IF($N25=0,"bye",VLOOKUP($N25,seznam!$A$2:$C$268,2))</f>
        <v>Genin Valentin</v>
      </c>
      <c r="P25" s="23" t="str">
        <f>IF($N25=0,"",VLOOKUP($N25,seznam!$A$2:$D$268,4))</f>
        <v>Belarus </v>
      </c>
      <c r="Q25" s="23">
        <f>A29</f>
        <v>38</v>
      </c>
      <c r="R25" s="23" t="str">
        <f>IF($Q25=0,"bye",VLOOKUP($Q25,seznam!$A$2:$C$268,2))</f>
        <v>Šálený David</v>
      </c>
      <c r="S25" s="23" t="str">
        <f>IF($Q25=0,"",VLOOKUP($Q25,seznam!$A$2:$D$268,4))</f>
        <v>SKST Týn nad Vltavou</v>
      </c>
      <c r="T25" s="55" t="s">
        <v>211</v>
      </c>
      <c r="U25" s="56" t="s">
        <v>211</v>
      </c>
      <c r="V25" s="56" t="s">
        <v>222</v>
      </c>
      <c r="W25" s="56"/>
      <c r="X25" s="57"/>
      <c r="Y25" s="23">
        <f aca="true" t="shared" si="29" ref="Y25:Y30">COUNTIF(AH25:AL25,"&gt;0")</f>
        <v>3</v>
      </c>
      <c r="Z25" s="23">
        <f aca="true" t="shared" si="30" ref="Z25:Z30">COUNTIF(AH25:AL25,"&lt;0")</f>
        <v>0</v>
      </c>
      <c r="AA25" s="23">
        <f aca="true" t="shared" si="31" ref="AA25:AA30">IF(Y25=Z25,0,IF(Y25&gt;Z25,N25,Q25))</f>
        <v>1</v>
      </c>
      <c r="AB25" s="23" t="str">
        <f>IF($AA25=0,"",VLOOKUP($AA25,seznam!$A$2:$C$268,2))</f>
        <v>Genin Valentin</v>
      </c>
      <c r="AC25" s="23" t="str">
        <f aca="true" t="shared" si="32" ref="AC25:AC30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>3:0 (5,5,10)</v>
      </c>
      <c r="AD25" s="23" t="str">
        <f aca="true" t="shared" si="33" ref="AD25:AD30">IF(SUM(Y25:Z25)=0,"",AC25)</f>
        <v>3:0 (5,5,10)</v>
      </c>
      <c r="AE25" s="23">
        <f aca="true" t="shared" si="34" ref="AE25:AE30">IF(T25="",0,IF(Y25&gt;Z25,2,1))</f>
        <v>2</v>
      </c>
      <c r="AF25" s="23">
        <f aca="true" t="shared" si="35" ref="AF25:AF30">IF(T25="",0,IF(Z25&gt;Y25,2,1))</f>
        <v>1</v>
      </c>
      <c r="AH25" s="23">
        <f aca="true" t="shared" si="36" ref="AH25:AL30">IF(T25="",0,IF(MID(T25,1,1)="-",-1,1))</f>
        <v>1</v>
      </c>
      <c r="AI25" s="23">
        <f t="shared" si="36"/>
        <v>1</v>
      </c>
      <c r="AJ25" s="23">
        <f t="shared" si="36"/>
        <v>1</v>
      </c>
      <c r="AK25" s="23">
        <f t="shared" si="36"/>
        <v>0</v>
      </c>
      <c r="AL25" s="23">
        <f t="shared" si="36"/>
        <v>0</v>
      </c>
      <c r="AN25" s="23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L&lt;TH&gt;1&lt;TH&gt;2&lt;TH&gt;3&lt;TH&gt;4&lt;TH&gt;Body&lt;TH&gt;Pořadí&lt;/TH&gt;&lt;/TR&gt;</v>
      </c>
      <c r="AP25" s="23" t="str">
        <f>CONCATENATE("&lt;TR&gt;&lt;TD width=250&gt;",J25,"&lt;TD&gt;",K25,"&lt;/TD&gt;&lt;/TR&gt;")</f>
        <v>&lt;TR&gt;&lt;TD width=250&gt;Genin Valentin - Šálený David&lt;TD&gt;3 : 0 (5,5,10)&lt;/TD&gt;&lt;/TR&gt;</v>
      </c>
    </row>
    <row r="26" spans="1:42" ht="16.5" customHeight="1" thickTop="1">
      <c r="A26" s="38">
        <v>1</v>
      </c>
      <c r="B26" s="39" t="str">
        <f>IF($A26="","",CONCATENATE(VLOOKUP($A26,seznam!$A$2:$B$268,2)," (",VLOOKUP($A26,seznam!$A$2:$E$269,4),")"))</f>
        <v>Genin Valentin (Belarus )</v>
      </c>
      <c r="C26" s="40" t="s">
        <v>30</v>
      </c>
      <c r="D26" s="41" t="str">
        <f>IF(Y28+Z28=0,"",CONCATENATE(Y28,":",Z28))</f>
        <v>3:0</v>
      </c>
      <c r="E26" s="41" t="str">
        <f>IF(Y30+Z30=0,"",CONCATENATE(Z30,":",Y30))</f>
        <v>3:0</v>
      </c>
      <c r="F26" s="42" t="str">
        <f>IF(Y25+Z25=0,"",CONCATENATE(Y25,":",Z25))</f>
        <v>3:0</v>
      </c>
      <c r="G26" s="43">
        <f>IF(AE25+AE28+AF30=0,"",AE25+AE28+AF30)</f>
        <v>6</v>
      </c>
      <c r="H26" s="42">
        <v>1</v>
      </c>
      <c r="J26" s="23" t="str">
        <f t="shared" si="27"/>
        <v>Noam  Baltiansky - Hrebačka Tadeáš</v>
      </c>
      <c r="K26" s="23" t="str">
        <f t="shared" si="28"/>
        <v>3 : 0 (3,8,6)</v>
      </c>
      <c r="M26" s="23" t="str">
        <f>CONCATENATE("2.st. ",úvod!$C$8," - ",M24)</f>
        <v>2.st. YOUNGER CADET BOYS - Skupina L</v>
      </c>
      <c r="N26" s="23">
        <f>A27</f>
        <v>21</v>
      </c>
      <c r="O26" s="23" t="str">
        <f>IF($N26=0,"bye",VLOOKUP($N26,seznam!$A$2:$C$268,2))</f>
        <v>Noam  Baltiansky</v>
      </c>
      <c r="P26" s="23" t="str">
        <f>IF($N26=0,"",VLOOKUP($N26,seznam!$A$2:$D$268,4))</f>
        <v>Israel </v>
      </c>
      <c r="Q26" s="23">
        <f>A28</f>
        <v>37</v>
      </c>
      <c r="R26" s="23" t="str">
        <f>IF($Q26=0,"bye",VLOOKUP($Q26,seznam!$A$2:$C$268,2))</f>
        <v>Hrebačka Tadeáš</v>
      </c>
      <c r="S26" s="23" t="str">
        <f>IF($Q26=0,"",VLOOKUP($Q26,seznam!$A$2:$D$268,4))</f>
        <v>SKST Hodonín</v>
      </c>
      <c r="T26" s="58" t="s">
        <v>212</v>
      </c>
      <c r="U26" s="59" t="s">
        <v>208</v>
      </c>
      <c r="V26" s="59" t="s">
        <v>210</v>
      </c>
      <c r="W26" s="59"/>
      <c r="X26" s="60"/>
      <c r="Y26" s="23">
        <f t="shared" si="29"/>
        <v>3</v>
      </c>
      <c r="Z26" s="23">
        <f t="shared" si="30"/>
        <v>0</v>
      </c>
      <c r="AA26" s="23">
        <f t="shared" si="31"/>
        <v>21</v>
      </c>
      <c r="AB26" s="23" t="str">
        <f>IF($AA26=0,"",VLOOKUP($AA26,seznam!$A$2:$C$268,2))</f>
        <v>Noam  Baltiansky</v>
      </c>
      <c r="AC26" s="23" t="str">
        <f t="shared" si="32"/>
        <v>3:0 (3,8,6)</v>
      </c>
      <c r="AD26" s="23" t="str">
        <f t="shared" si="33"/>
        <v>3:0 (3,8,6)</v>
      </c>
      <c r="AE26" s="23">
        <f t="shared" si="34"/>
        <v>2</v>
      </c>
      <c r="AF26" s="23">
        <f t="shared" si="35"/>
        <v>1</v>
      </c>
      <c r="AH26" s="23">
        <f t="shared" si="36"/>
        <v>1</v>
      </c>
      <c r="AI26" s="23">
        <f t="shared" si="36"/>
        <v>1</v>
      </c>
      <c r="AJ26" s="23">
        <f t="shared" si="36"/>
        <v>1</v>
      </c>
      <c r="AK26" s="23">
        <f t="shared" si="36"/>
        <v>0</v>
      </c>
      <c r="AL26" s="23">
        <f t="shared" si="36"/>
        <v>0</v>
      </c>
      <c r="AN26" s="23" t="str">
        <f>CONCATENATE(AO26,AO27,AO28,AO29,)</f>
        <v>&lt;TR&gt;&lt;TD&gt;1&lt;TD width=200&gt;Genin Valentin (Belarus )&lt;TD&gt;XXX&lt;TD&gt;3:0&lt;TD&gt;3:0&lt;TD&gt;3:0&lt;TD&gt;6&lt;TD&gt;1&lt;/TD&gt;&lt;/TR&gt;&lt;TR&gt;&lt;TD&gt;21&lt;TD width=200&gt;Noam  Baltiansky (Israel )&lt;TD&gt;0:3&lt;TD&gt;XXX&lt;TD&gt;3:0&lt;TD&gt;0:3&lt;TD&gt;4&lt;TD&gt;3&lt;/TD&gt;&lt;/TR&gt;&lt;TR&gt;&lt;TD&gt;37&lt;TD width=200&gt;Hrebačka Tadeáš (SKST Hodonín)&lt;TD&gt;0:3&lt;TD&gt;0:3&lt;TD&gt;XXX&lt;TD&gt;0:3&lt;TD&gt;3&lt;TD&gt;4&lt;/TD&gt;&lt;/TR&gt;&lt;TR&gt;&lt;TD&gt;38&lt;TD width=200&gt;Šálený David (SKST Týn nad Vltavou)&lt;TD&gt;0:3&lt;TD&gt;3:0&lt;TD&gt;3:0&lt;TD&gt;XXX&lt;TD&gt;5&lt;TD&gt;2&lt;/TD&gt;&lt;/TR&gt;</v>
      </c>
      <c r="AO26" s="23" t="str">
        <f>CONCATENATE("&lt;TR&gt;&lt;TD&gt;",A26,"&lt;TD width=200&gt;",B26,"&lt;TD&gt;",C26,"&lt;TD&gt;",D26,"&lt;TD&gt;",E26,"&lt;TD&gt;",F26,"&lt;TD&gt;",G26,"&lt;TD&gt;",H26,"&lt;/TD&gt;&lt;/TR&gt;")</f>
        <v>&lt;TR&gt;&lt;TD&gt;1&lt;TD width=200&gt;Genin Valentin (Belarus )&lt;TD&gt;XXX&lt;TD&gt;3:0&lt;TD&gt;3:0&lt;TD&gt;3:0&lt;TD&gt;6&lt;TD&gt;1&lt;/TD&gt;&lt;/TR&gt;</v>
      </c>
      <c r="AP26" s="23" t="str">
        <f>CONCATENATE("&lt;TR&gt;&lt;TD&gt;",J26,"&lt;TD&gt;",K26,"&lt;/TD&gt;&lt;/TR&gt;")</f>
        <v>&lt;TR&gt;&lt;TD&gt;Noam  Baltiansky - Hrebačka Tadeáš&lt;TD&gt;3 : 0 (3,8,6)&lt;/TD&gt;&lt;/TR&gt;</v>
      </c>
    </row>
    <row r="27" spans="1:42" ht="16.5" customHeight="1">
      <c r="A27" s="26">
        <v>21</v>
      </c>
      <c r="B27" s="32" t="str">
        <f>IF($A27="","",CONCATENATE(VLOOKUP($A27,seznam!$A$2:$B$268,2)," (",VLOOKUP($A27,seznam!$A$2:$E$269,4),")"))</f>
        <v>Noam  Baltiansky (Israel )</v>
      </c>
      <c r="C27" s="36" t="str">
        <f>IF(Y28+Z28=0,"",CONCATENATE(Z28,":",Y28))</f>
        <v>0:3</v>
      </c>
      <c r="D27" s="27" t="s">
        <v>30</v>
      </c>
      <c r="E27" s="27" t="str">
        <f>IF(Y26+Z26=0,"",CONCATENATE(Y26,":",Z26))</f>
        <v>3:0</v>
      </c>
      <c r="F27" s="28" t="str">
        <f>IF(Y29+Z29=0,"",CONCATENATE(Y29,":",Z29))</f>
        <v>0:3</v>
      </c>
      <c r="G27" s="34">
        <f>IF(AE26+AF28+AE29=0,"",AE26+AF28+AE29)</f>
        <v>4</v>
      </c>
      <c r="H27" s="28">
        <v>3</v>
      </c>
      <c r="J27" s="23" t="str">
        <f t="shared" si="27"/>
        <v>Šálený David - Hrebačka Tadeáš</v>
      </c>
      <c r="K27" s="23" t="str">
        <f t="shared" si="28"/>
        <v>3 : 0 (3,3,2)</v>
      </c>
      <c r="M27" s="23" t="str">
        <f>CONCATENATE("2.st. ",úvod!$C$8," - ",M24)</f>
        <v>2.st. YOUNGER CADET BOYS - Skupina L</v>
      </c>
      <c r="N27" s="23">
        <f>A29</f>
        <v>38</v>
      </c>
      <c r="O27" s="23" t="str">
        <f>IF($N27=0,"bye",VLOOKUP($N27,seznam!$A$2:$C$268,2))</f>
        <v>Šálený David</v>
      </c>
      <c r="P27" s="23" t="str">
        <f>IF($N27=0,"",VLOOKUP($N27,seznam!$A$2:$D$268,4))</f>
        <v>SKST Týn nad Vltavou</v>
      </c>
      <c r="Q27" s="23">
        <f>A28</f>
        <v>37</v>
      </c>
      <c r="R27" s="23" t="str">
        <f>IF($Q27=0,"bye",VLOOKUP($Q27,seznam!$A$2:$C$268,2))</f>
        <v>Hrebačka Tadeáš</v>
      </c>
      <c r="S27" s="23" t="str">
        <f>IF($Q27=0,"",VLOOKUP($Q27,seznam!$A$2:$D$268,4))</f>
        <v>SKST Hodonín</v>
      </c>
      <c r="T27" s="58" t="s">
        <v>212</v>
      </c>
      <c r="U27" s="59" t="s">
        <v>212</v>
      </c>
      <c r="V27" s="59" t="s">
        <v>206</v>
      </c>
      <c r="W27" s="59"/>
      <c r="X27" s="60"/>
      <c r="Y27" s="23">
        <f t="shared" si="29"/>
        <v>3</v>
      </c>
      <c r="Z27" s="23">
        <f t="shared" si="30"/>
        <v>0</v>
      </c>
      <c r="AA27" s="23">
        <f t="shared" si="31"/>
        <v>38</v>
      </c>
      <c r="AB27" s="23" t="str">
        <f>IF($AA27=0,"",VLOOKUP($AA27,seznam!$A$2:$C$268,2))</f>
        <v>Šálený David</v>
      </c>
      <c r="AC27" s="23" t="str">
        <f t="shared" si="32"/>
        <v>3:0 (3,3,2)</v>
      </c>
      <c r="AD27" s="23" t="str">
        <f t="shared" si="33"/>
        <v>3:0 (3,3,2)</v>
      </c>
      <c r="AE27" s="23">
        <f t="shared" si="34"/>
        <v>2</v>
      </c>
      <c r="AF27" s="23">
        <f t="shared" si="35"/>
        <v>1</v>
      </c>
      <c r="AH27" s="23">
        <f t="shared" si="36"/>
        <v>1</v>
      </c>
      <c r="AI27" s="23">
        <f t="shared" si="36"/>
        <v>1</v>
      </c>
      <c r="AJ27" s="23">
        <f t="shared" si="36"/>
        <v>1</v>
      </c>
      <c r="AK27" s="23">
        <f t="shared" si="36"/>
        <v>0</v>
      </c>
      <c r="AL27" s="23">
        <f t="shared" si="36"/>
        <v>0</v>
      </c>
      <c r="AN27" s="23" t="str">
        <f>CONCATENATE("&lt;/Table&gt;&lt;TD width=420&gt;&lt;Table&gt;")</f>
        <v>&lt;/Table&gt;&lt;TD width=420&gt;&lt;Table&gt;</v>
      </c>
      <c r="AO27" s="23" t="str">
        <f>CONCATENATE("&lt;TR&gt;&lt;TD&gt;",A27,"&lt;TD width=200&gt;",B27,"&lt;TD&gt;",C27,"&lt;TD&gt;",D27,"&lt;TD&gt;",E27,"&lt;TD&gt;",F27,"&lt;TD&gt;",G27,"&lt;TD&gt;",H27,"&lt;/TD&gt;&lt;/TR&gt;")</f>
        <v>&lt;TR&gt;&lt;TD&gt;21&lt;TD width=200&gt;Noam  Baltiansky (Israel )&lt;TD&gt;0:3&lt;TD&gt;XXX&lt;TD&gt;3:0&lt;TD&gt;0:3&lt;TD&gt;4&lt;TD&gt;3&lt;/TD&gt;&lt;/TR&gt;</v>
      </c>
      <c r="AP27" s="23" t="str">
        <f>CONCATENATE("&lt;TR&gt;&lt;TD&gt;",J27,"&lt;TD&gt;",K27,"&lt;/TD&gt;&lt;/TR&gt;")</f>
        <v>&lt;TR&gt;&lt;TD&gt;Šálený David - Hrebačka Tadeáš&lt;TD&gt;3 : 0 (3,3,2)&lt;/TD&gt;&lt;/TR&gt;</v>
      </c>
    </row>
    <row r="28" spans="1:42" ht="16.5" customHeight="1">
      <c r="A28" s="26">
        <v>37</v>
      </c>
      <c r="B28" s="32" t="str">
        <f>IF($A28="","",CONCATENATE(VLOOKUP($A28,seznam!$A$2:$B$268,2)," (",VLOOKUP($A28,seznam!$A$2:$E$269,4),")"))</f>
        <v>Hrebačka Tadeáš (SKST Hodonín)</v>
      </c>
      <c r="C28" s="36" t="str">
        <f>IF(Y30+Z30=0,"",CONCATENATE(Y30,":",Z30))</f>
        <v>0:3</v>
      </c>
      <c r="D28" s="27" t="str">
        <f>IF(Y26+Z26=0,"",CONCATENATE(Z26,":",Y26))</f>
        <v>0:3</v>
      </c>
      <c r="E28" s="27" t="s">
        <v>30</v>
      </c>
      <c r="F28" s="28" t="str">
        <f>IF(Y27+Z27=0,"",CONCATENATE(Z27,":",Y27))</f>
        <v>0:3</v>
      </c>
      <c r="G28" s="34">
        <f>IF(AF26+AF27+AE30=0,"",AF26+AF27+AE30)</f>
        <v>3</v>
      </c>
      <c r="H28" s="28">
        <v>4</v>
      </c>
      <c r="J28" s="23" t="str">
        <f t="shared" si="27"/>
        <v>Genin Valentin - Noam  Baltiansky</v>
      </c>
      <c r="K28" s="23" t="str">
        <f t="shared" si="28"/>
        <v>3 : 0 (6,5,12)</v>
      </c>
      <c r="M28" s="23" t="str">
        <f>CONCATENATE("2.st. ",úvod!$C$8," - ",M24)</f>
        <v>2.st. YOUNGER CADET BOYS - Skupina L</v>
      </c>
      <c r="N28" s="23">
        <f>A26</f>
        <v>1</v>
      </c>
      <c r="O28" s="23" t="str">
        <f>IF($N28=0,"bye",VLOOKUP($N28,seznam!$A$2:$C$268,2))</f>
        <v>Genin Valentin</v>
      </c>
      <c r="P28" s="23" t="str">
        <f>IF($N28=0,"",VLOOKUP($N28,seznam!$A$2:$D$268,4))</f>
        <v>Belarus </v>
      </c>
      <c r="Q28" s="23">
        <f>A27</f>
        <v>21</v>
      </c>
      <c r="R28" s="23" t="str">
        <f>IF($Q28=0,"bye",VLOOKUP($Q28,seznam!$A$2:$C$268,2))</f>
        <v>Noam  Baltiansky</v>
      </c>
      <c r="S28" s="23" t="str">
        <f>IF($Q28=0,"",VLOOKUP($Q28,seznam!$A$2:$D$268,4))</f>
        <v>Israel </v>
      </c>
      <c r="T28" s="58" t="s">
        <v>210</v>
      </c>
      <c r="U28" s="59" t="s">
        <v>211</v>
      </c>
      <c r="V28" s="59" t="s">
        <v>219</v>
      </c>
      <c r="W28" s="59"/>
      <c r="X28" s="60"/>
      <c r="Y28" s="23">
        <f t="shared" si="29"/>
        <v>3</v>
      </c>
      <c r="Z28" s="23">
        <f t="shared" si="30"/>
        <v>0</v>
      </c>
      <c r="AA28" s="23">
        <f t="shared" si="31"/>
        <v>1</v>
      </c>
      <c r="AB28" s="23" t="str">
        <f>IF($AA28=0,"",VLOOKUP($AA28,seznam!$A$2:$C$268,2))</f>
        <v>Genin Valentin</v>
      </c>
      <c r="AC28" s="23" t="str">
        <f t="shared" si="32"/>
        <v>3:0 (6,5,12)</v>
      </c>
      <c r="AD28" s="23" t="str">
        <f t="shared" si="33"/>
        <v>3:0 (6,5,12)</v>
      </c>
      <c r="AE28" s="23">
        <f t="shared" si="34"/>
        <v>2</v>
      </c>
      <c r="AF28" s="23">
        <f t="shared" si="35"/>
        <v>1</v>
      </c>
      <c r="AH28" s="23">
        <f t="shared" si="36"/>
        <v>1</v>
      </c>
      <c r="AI28" s="23">
        <f t="shared" si="36"/>
        <v>1</v>
      </c>
      <c r="AJ28" s="23">
        <f t="shared" si="36"/>
        <v>1</v>
      </c>
      <c r="AK28" s="23">
        <f t="shared" si="36"/>
        <v>0</v>
      </c>
      <c r="AL28" s="23">
        <f t="shared" si="36"/>
        <v>0</v>
      </c>
      <c r="AN28" s="23" t="str">
        <f>CONCATENATE(AP25,AP26,AP27,AP28,AP29,AP30,)</f>
        <v>&lt;TR&gt;&lt;TD width=250&gt;Genin Valentin - Šálený David&lt;TD&gt;3 : 0 (5,5,10)&lt;/TD&gt;&lt;/TR&gt;&lt;TR&gt;&lt;TD&gt;Noam  Baltiansky - Hrebačka Tadeáš&lt;TD&gt;3 : 0 (3,8,6)&lt;/TD&gt;&lt;/TR&gt;&lt;TR&gt;&lt;TD&gt;Šálený David - Hrebačka Tadeáš&lt;TD&gt;3 : 0 (3,3,2)&lt;/TD&gt;&lt;/TR&gt;&lt;TR&gt;&lt;TD&gt;Genin Valentin - Noam  Baltiansky&lt;TD&gt;3 : 0 (6,5,12)&lt;/TD&gt;&lt;/TR&gt;&lt;TR&gt;&lt;TD&gt;Noam  Baltiansky - Šálený David&lt;TD&gt;0 : 3 (-10,-4,-11)&lt;/TD&gt;&lt;/TR&gt;&lt;TR&gt;&lt;TD&gt;Hrebačka Tadeáš - Genin Valentin&lt;TD&gt;0 : 3 (-3,-5,-3)&lt;/TD&gt;&lt;/TR&gt;</v>
      </c>
      <c r="AO28" s="23" t="str">
        <f>CONCATENATE("&lt;TR&gt;&lt;TD&gt;",A28,"&lt;TD width=200&gt;",B28,"&lt;TD&gt;",C28,"&lt;TD&gt;",D28,"&lt;TD&gt;",E28,"&lt;TD&gt;",F28,"&lt;TD&gt;",G28,"&lt;TD&gt;",H28,"&lt;/TD&gt;&lt;/TR&gt;")</f>
        <v>&lt;TR&gt;&lt;TD&gt;37&lt;TD width=200&gt;Hrebačka Tadeáš (SKST Hodonín)&lt;TD&gt;0:3&lt;TD&gt;0:3&lt;TD&gt;XXX&lt;TD&gt;0:3&lt;TD&gt;3&lt;TD&gt;4&lt;/TD&gt;&lt;/TR&gt;</v>
      </c>
      <c r="AP28" s="23" t="str">
        <f>CONCATENATE("&lt;TR&gt;&lt;TD&gt;",J28,"&lt;TD&gt;",K28,"&lt;/TD&gt;&lt;/TR&gt;")</f>
        <v>&lt;TR&gt;&lt;TD&gt;Genin Valentin - Noam  Baltiansky&lt;TD&gt;3 : 0 (6,5,12)&lt;/TD&gt;&lt;/TR&gt;</v>
      </c>
    </row>
    <row r="29" spans="1:42" ht="16.5" customHeight="1" thickBot="1">
      <c r="A29" s="29">
        <v>38</v>
      </c>
      <c r="B29" s="33" t="str">
        <f>IF($A29="","",CONCATENATE(VLOOKUP($A29,seznam!$A$2:$B$268,2)," (",VLOOKUP($A29,seznam!$A$2:$E$269,4),")"))</f>
        <v>Šálený David (SKST Týn nad Vltavou)</v>
      </c>
      <c r="C29" s="37" t="str">
        <f>IF(Y25+Z25=0,"",CONCATENATE(Z25,":",Y25))</f>
        <v>0:3</v>
      </c>
      <c r="D29" s="30" t="str">
        <f>IF(Y29+Z29=0,"",CONCATENATE(Z29,":",Y29))</f>
        <v>3:0</v>
      </c>
      <c r="E29" s="30" t="str">
        <f>IF(Y27+Z27=0,"",CONCATENATE(Y27,":",Z27))</f>
        <v>3:0</v>
      </c>
      <c r="F29" s="31" t="s">
        <v>30</v>
      </c>
      <c r="G29" s="35">
        <f>IF(AF25+AE27+AF29=0,"",AF25+AE27+AF29)</f>
        <v>5</v>
      </c>
      <c r="H29" s="31">
        <v>2</v>
      </c>
      <c r="J29" s="23" t="str">
        <f t="shared" si="27"/>
        <v>Noam  Baltiansky - Šálený David</v>
      </c>
      <c r="K29" s="23" t="str">
        <f t="shared" si="28"/>
        <v>0 : 3 (-10,-4,-11)</v>
      </c>
      <c r="M29" s="23" t="str">
        <f>CONCATENATE("2.st. ",úvod!$C$8," - ",M24)</f>
        <v>2.st. YOUNGER CADET BOYS - Skupina L</v>
      </c>
      <c r="N29" s="23">
        <f>A27</f>
        <v>21</v>
      </c>
      <c r="O29" s="23" t="str">
        <f>IF($N29=0,"bye",VLOOKUP($N29,seznam!$A$2:$C$268,2))</f>
        <v>Noam  Baltiansky</v>
      </c>
      <c r="P29" s="23" t="str">
        <f>IF($N29=0,"",VLOOKUP($N29,seznam!$A$2:$D$268,4))</f>
        <v>Israel </v>
      </c>
      <c r="Q29" s="23">
        <f>A29</f>
        <v>38</v>
      </c>
      <c r="R29" s="23" t="str">
        <f>IF($Q29=0,"bye",VLOOKUP($Q29,seznam!$A$2:$C$268,2))</f>
        <v>Šálený David</v>
      </c>
      <c r="S29" s="23" t="str">
        <f>IF($Q29=0,"",VLOOKUP($Q29,seznam!$A$2:$D$268,4))</f>
        <v>SKST Týn nad Vltavou</v>
      </c>
      <c r="T29" s="58" t="s">
        <v>214</v>
      </c>
      <c r="U29" s="59" t="s">
        <v>225</v>
      </c>
      <c r="V29" s="59" t="s">
        <v>223</v>
      </c>
      <c r="W29" s="59"/>
      <c r="X29" s="60"/>
      <c r="Y29" s="23">
        <f t="shared" si="29"/>
        <v>0</v>
      </c>
      <c r="Z29" s="23">
        <f t="shared" si="30"/>
        <v>3</v>
      </c>
      <c r="AA29" s="23">
        <f t="shared" si="31"/>
        <v>38</v>
      </c>
      <c r="AB29" s="23" t="str">
        <f>IF($AA29=0,"",VLOOKUP($AA29,seznam!$A$2:$C$268,2))</f>
        <v>Šálený David</v>
      </c>
      <c r="AC29" s="23" t="str">
        <f t="shared" si="32"/>
        <v>3:0 (10,4,11)</v>
      </c>
      <c r="AD29" s="23" t="str">
        <f t="shared" si="33"/>
        <v>3:0 (10,4,11)</v>
      </c>
      <c r="AE29" s="23">
        <f t="shared" si="34"/>
        <v>1</v>
      </c>
      <c r="AF29" s="23">
        <f t="shared" si="35"/>
        <v>2</v>
      </c>
      <c r="AH29" s="23">
        <f t="shared" si="36"/>
        <v>-1</v>
      </c>
      <c r="AI29" s="23">
        <f t="shared" si="36"/>
        <v>-1</v>
      </c>
      <c r="AJ29" s="23">
        <f t="shared" si="36"/>
        <v>-1</v>
      </c>
      <c r="AK29" s="23">
        <f t="shared" si="36"/>
        <v>0</v>
      </c>
      <c r="AL29" s="23">
        <f t="shared" si="36"/>
        <v>0</v>
      </c>
      <c r="AN29" s="23" t="str">
        <f>CONCATENATE("&lt;/Table&gt;&lt;/TD&gt;&lt;/TR&gt;&lt;/Table&gt;&lt;P&gt;")</f>
        <v>&lt;/Table&gt;&lt;/TD&gt;&lt;/TR&gt;&lt;/Table&gt;&lt;P&gt;</v>
      </c>
      <c r="AO29" s="23" t="str">
        <f>CONCATENATE("&lt;TR&gt;&lt;TD&gt;",A29,"&lt;TD width=200&gt;",B29,"&lt;TD&gt;",C29,"&lt;TD&gt;",D29,"&lt;TD&gt;",E29,"&lt;TD&gt;",F29,"&lt;TD&gt;",G29,"&lt;TD&gt;",H29,"&lt;/TD&gt;&lt;/TR&gt;")</f>
        <v>&lt;TR&gt;&lt;TD&gt;38&lt;TD width=200&gt;Šálený David (SKST Týn nad Vltavou)&lt;TD&gt;0:3&lt;TD&gt;3:0&lt;TD&gt;3:0&lt;TD&gt;XXX&lt;TD&gt;5&lt;TD&gt;2&lt;/TD&gt;&lt;/TR&gt;</v>
      </c>
      <c r="AP29" s="23" t="str">
        <f>CONCATENATE("&lt;TR&gt;&lt;TD&gt;",J29,"&lt;TD&gt;",K29,"&lt;/TD&gt;&lt;/TR&gt;")</f>
        <v>&lt;TR&gt;&lt;TD&gt;Noam  Baltiansky - Šálený David&lt;TD&gt;0 : 3 (-10,-4,-11)&lt;/TD&gt;&lt;/TR&gt;</v>
      </c>
    </row>
    <row r="30" spans="10:42" ht="16.5" customHeight="1" thickBot="1" thickTop="1">
      <c r="J30" s="23" t="str">
        <f t="shared" si="27"/>
        <v>Hrebačka Tadeáš - Genin Valentin</v>
      </c>
      <c r="K30" s="23" t="str">
        <f t="shared" si="28"/>
        <v>0 : 3 (-3,-5,-3)</v>
      </c>
      <c r="M30" s="23" t="str">
        <f>CONCATENATE("2.st. ",úvod!$C$8," - ",M24)</f>
        <v>2.st. YOUNGER CADET BOYS - Skupina L</v>
      </c>
      <c r="N30" s="23">
        <f>A28</f>
        <v>37</v>
      </c>
      <c r="O30" s="23" t="str">
        <f>IF($N30=0,"bye",VLOOKUP($N30,seznam!$A$2:$C$268,2))</f>
        <v>Hrebačka Tadeáš</v>
      </c>
      <c r="P30" s="23" t="str">
        <f>IF($N30=0,"",VLOOKUP($N30,seznam!$A$2:$D$268,4))</f>
        <v>SKST Hodonín</v>
      </c>
      <c r="Q30" s="23">
        <f>A26</f>
        <v>1</v>
      </c>
      <c r="R30" s="23" t="str">
        <f>IF($Q30=0,"bye",VLOOKUP($Q30,seznam!$A$2:$C$268,2))</f>
        <v>Genin Valentin</v>
      </c>
      <c r="S30" s="23" t="str">
        <f>IF($Q30=0,"",VLOOKUP($Q30,seznam!$A$2:$D$268,4))</f>
        <v>Belarus </v>
      </c>
      <c r="T30" s="61" t="s">
        <v>228</v>
      </c>
      <c r="U30" s="62" t="s">
        <v>224</v>
      </c>
      <c r="V30" s="62" t="s">
        <v>228</v>
      </c>
      <c r="W30" s="62"/>
      <c r="X30" s="63"/>
      <c r="Y30" s="23">
        <f t="shared" si="29"/>
        <v>0</v>
      </c>
      <c r="Z30" s="23">
        <f t="shared" si="30"/>
        <v>3</v>
      </c>
      <c r="AA30" s="23">
        <f t="shared" si="31"/>
        <v>1</v>
      </c>
      <c r="AB30" s="23" t="str">
        <f>IF($AA30=0,"",VLOOKUP($AA30,seznam!$A$2:$C$268,2))</f>
        <v>Genin Valentin</v>
      </c>
      <c r="AC30" s="23" t="str">
        <f t="shared" si="32"/>
        <v>3:0 (3,5,3)</v>
      </c>
      <c r="AD30" s="23" t="str">
        <f t="shared" si="33"/>
        <v>3:0 (3,5,3)</v>
      </c>
      <c r="AE30" s="23">
        <f t="shared" si="34"/>
        <v>1</v>
      </c>
      <c r="AF30" s="23">
        <f t="shared" si="35"/>
        <v>2</v>
      </c>
      <c r="AH30" s="23">
        <f t="shared" si="36"/>
        <v>-1</v>
      </c>
      <c r="AI30" s="23">
        <f t="shared" si="36"/>
        <v>-1</v>
      </c>
      <c r="AJ30" s="23">
        <f t="shared" si="36"/>
        <v>-1</v>
      </c>
      <c r="AK30" s="23">
        <f t="shared" si="36"/>
        <v>0</v>
      </c>
      <c r="AL30" s="23">
        <f t="shared" si="36"/>
        <v>0</v>
      </c>
      <c r="AP30" s="23" t="str">
        <f>CONCATENATE("&lt;TR&gt;&lt;TD&gt;",J30,"&lt;TD&gt;",K30,"&lt;/TD&gt;&lt;/TR&gt;")</f>
        <v>&lt;TR&gt;&lt;TD&gt;Hrebačka Tadeáš - Genin Valentin&lt;TD&gt;0 : 3 (-3,-5,-3)&lt;/TD&gt;&lt;/TR&gt;</v>
      </c>
    </row>
    <row r="31" spans="13:40" ht="16.5" customHeight="1" thickBot="1" thickTop="1">
      <c r="M31" s="24" t="str">
        <f>B32</f>
        <v>Skupina M</v>
      </c>
      <c r="N31" s="24" t="s">
        <v>0</v>
      </c>
      <c r="O31" s="24" t="s">
        <v>1</v>
      </c>
      <c r="P31" s="24" t="s">
        <v>2</v>
      </c>
      <c r="Q31" s="24" t="s">
        <v>0</v>
      </c>
      <c r="R31" s="24" t="s">
        <v>3</v>
      </c>
      <c r="S31" s="24" t="s">
        <v>2</v>
      </c>
      <c r="T31" s="25" t="s">
        <v>4</v>
      </c>
      <c r="U31" s="25" t="s">
        <v>5</v>
      </c>
      <c r="V31" s="25" t="s">
        <v>6</v>
      </c>
      <c r="W31" s="25" t="s">
        <v>7</v>
      </c>
      <c r="X31" s="25" t="s">
        <v>8</v>
      </c>
      <c r="Y31" s="24" t="s">
        <v>9</v>
      </c>
      <c r="Z31" s="24" t="s">
        <v>10</v>
      </c>
      <c r="AA31" s="24" t="s">
        <v>11</v>
      </c>
      <c r="AN31" s="23" t="s">
        <v>16</v>
      </c>
    </row>
    <row r="32" spans="1:42" ht="16.5" customHeight="1" thickBot="1" thickTop="1">
      <c r="A32" s="44"/>
      <c r="B32" s="45" t="s">
        <v>198</v>
      </c>
      <c r="C32" s="46">
        <v>1</v>
      </c>
      <c r="D32" s="47">
        <v>2</v>
      </c>
      <c r="E32" s="47">
        <v>3</v>
      </c>
      <c r="F32" s="48">
        <v>4</v>
      </c>
      <c r="G32" s="49" t="s">
        <v>14</v>
      </c>
      <c r="H32" s="48" t="s">
        <v>15</v>
      </c>
      <c r="J32" s="23" t="str">
        <f aca="true" t="shared" si="37" ref="J32:J37">CONCATENATE(O32," - ",R32)</f>
        <v>Eyal Baruch - Cyprich Radovan</v>
      </c>
      <c r="K32" s="23" t="str">
        <f aca="true" t="shared" si="38" ref="K32:K37">IF(SUM(Y32:Z32)=0,AD32,CONCATENATE(Y32," : ",Z32," (",T32,",",U32,",",V32,IF(Y32+Z32&gt;3,",",""),W32,IF(Y32+Z32&gt;4,",",""),X32,")"))</f>
        <v>3 : 0 (3,9,8)</v>
      </c>
      <c r="M32" s="23" t="str">
        <f>CONCATENATE("2.st. ",úvod!$C$8," - ",M31)</f>
        <v>2.st. YOUNGER CADET BOYS - Skupina M</v>
      </c>
      <c r="N32" s="23">
        <f>A33</f>
        <v>22</v>
      </c>
      <c r="O32" s="23" t="str">
        <f>IF($N32=0,"bye",VLOOKUP($N32,seznam!$A$2:$C$268,2))</f>
        <v>Eyal Baruch</v>
      </c>
      <c r="P32" s="23" t="str">
        <f>IF($N32=0,"",VLOOKUP($N32,seznam!$A$2:$D$268,4))</f>
        <v>Isreal </v>
      </c>
      <c r="Q32" s="23">
        <f>A36</f>
        <v>31</v>
      </c>
      <c r="R32" s="23" t="str">
        <f>IF($Q32=0,"bye",VLOOKUP($Q32,seznam!$A$2:$C$268,2))</f>
        <v>Cyprich Radovan</v>
      </c>
      <c r="S32" s="23" t="str">
        <f>IF($Q32=0,"",VLOOKUP($Q32,seznam!$A$2:$D$268,4))</f>
        <v>MSK Čadca</v>
      </c>
      <c r="T32" s="55" t="s">
        <v>212</v>
      </c>
      <c r="U32" s="56" t="s">
        <v>213</v>
      </c>
      <c r="V32" s="56" t="s">
        <v>208</v>
      </c>
      <c r="W32" s="56"/>
      <c r="X32" s="57"/>
      <c r="Y32" s="23">
        <f aca="true" t="shared" si="39" ref="Y32:Y37">COUNTIF(AH32:AL32,"&gt;0")</f>
        <v>3</v>
      </c>
      <c r="Z32" s="23">
        <f aca="true" t="shared" si="40" ref="Z32:Z37">COUNTIF(AH32:AL32,"&lt;0")</f>
        <v>0</v>
      </c>
      <c r="AA32" s="23">
        <f aca="true" t="shared" si="41" ref="AA32:AA37">IF(Y32=Z32,0,IF(Y32&gt;Z32,N32,Q32))</f>
        <v>22</v>
      </c>
      <c r="AB32" s="23" t="str">
        <f>IF($AA32=0,"",VLOOKUP($AA32,seznam!$A$2:$C$268,2))</f>
        <v>Eyal Baruch</v>
      </c>
      <c r="AC32" s="23" t="str">
        <f aca="true" t="shared" si="42" ref="AC32:AC37">IF(Y32=Z32,"",IF(Y32&gt;Z32,CONCATENATE(Y32,":",Z32," (",T32,",",U32,",",V32,IF(SUM(Y32:Z32)&gt;3,",",""),W32,IF(SUM(Y32:Z32)&gt;4,",",""),X32,")"),CONCATENATE(Z32,":",Y32," (",-T32,",",-U32,",",-V32,IF(SUM(Y32:Z32)&gt;3,CONCATENATE(",",-W32),""),IF(SUM(Y32:Z32)&gt;4,CONCATENATE(",",-X32),""),")")))</f>
        <v>3:0 (3,9,8)</v>
      </c>
      <c r="AD32" s="23" t="str">
        <f aca="true" t="shared" si="43" ref="AD32:AD37">IF(SUM(Y32:Z32)=0,"",AC32)</f>
        <v>3:0 (3,9,8)</v>
      </c>
      <c r="AE32" s="23">
        <f aca="true" t="shared" si="44" ref="AE32:AE37">IF(T32="",0,IF(Y32&gt;Z32,2,1))</f>
        <v>2</v>
      </c>
      <c r="AF32" s="23">
        <f aca="true" t="shared" si="45" ref="AF32:AF37">IF(T32="",0,IF(Z32&gt;Y32,2,1))</f>
        <v>1</v>
      </c>
      <c r="AH32" s="23">
        <f aca="true" t="shared" si="46" ref="AH32:AL37">IF(T32="",0,IF(MID(T32,1,1)="-",-1,1))</f>
        <v>1</v>
      </c>
      <c r="AI32" s="23">
        <f t="shared" si="46"/>
        <v>1</v>
      </c>
      <c r="AJ32" s="23">
        <f t="shared" si="46"/>
        <v>1</v>
      </c>
      <c r="AK32" s="23">
        <f t="shared" si="46"/>
        <v>0</v>
      </c>
      <c r="AL32" s="23">
        <f t="shared" si="46"/>
        <v>0</v>
      </c>
      <c r="AN32" s="23" t="str">
        <f>CONCATENATE("&lt;Table border=1 cellpading=0 cellspacing=0 width=480&gt;&lt;TR&gt;&lt;TH colspan=2&gt;",B32,"&lt;TH&gt;1&lt;TH&gt;2&lt;TH&gt;3&lt;TH&gt;4&lt;TH&gt;Body&lt;TH&gt;Pořadí&lt;/TH&gt;&lt;/TR&gt;")</f>
        <v>&lt;Table border=1 cellpading=0 cellspacing=0 width=480&gt;&lt;TR&gt;&lt;TH colspan=2&gt;Skupina M&lt;TH&gt;1&lt;TH&gt;2&lt;TH&gt;3&lt;TH&gt;4&lt;TH&gt;Body&lt;TH&gt;Pořadí&lt;/TH&gt;&lt;/TR&gt;</v>
      </c>
      <c r="AP32" s="23" t="str">
        <f>CONCATENATE("&lt;TR&gt;&lt;TD width=250&gt;",J32,"&lt;TD&gt;",K32,"&lt;/TD&gt;&lt;/TR&gt;")</f>
        <v>&lt;TR&gt;&lt;TD width=250&gt;Eyal Baruch - Cyprich Radovan&lt;TD&gt;3 : 0 (3,9,8)&lt;/TD&gt;&lt;/TR&gt;</v>
      </c>
    </row>
    <row r="33" spans="1:42" ht="16.5" customHeight="1" thickTop="1">
      <c r="A33" s="38">
        <v>22</v>
      </c>
      <c r="B33" s="39" t="str">
        <f>IF($A33="","",CONCATENATE(VLOOKUP($A33,seznam!$A$2:$B$268,2)," (",VLOOKUP($A33,seznam!$A$2:$E$269,4),")"))</f>
        <v>Eyal Baruch (Isreal )</v>
      </c>
      <c r="C33" s="40" t="s">
        <v>30</v>
      </c>
      <c r="D33" s="41" t="str">
        <f>IF(Y35+Z35=0,"",CONCATENATE(Y35,":",Z35))</f>
        <v>3:0</v>
      </c>
      <c r="E33" s="41" t="str">
        <f>IF(Y37+Z37=0,"",CONCATENATE(Z37,":",Y37))</f>
        <v>3:0</v>
      </c>
      <c r="F33" s="42" t="str">
        <f>IF(Y32+Z32=0,"",CONCATENATE(Y32,":",Z32))</f>
        <v>3:0</v>
      </c>
      <c r="G33" s="43">
        <f>IF(AE32+AE35+AF37=0,"",AE32+AE35+AF37)</f>
        <v>6</v>
      </c>
      <c r="H33" s="42">
        <v>1</v>
      </c>
      <c r="J33" s="23" t="str">
        <f t="shared" si="37"/>
        <v>Vacek Jan - Bareš David</v>
      </c>
      <c r="K33" s="23" t="str">
        <f t="shared" si="38"/>
        <v>3 : 0 (5,12,9)</v>
      </c>
      <c r="M33" s="23" t="str">
        <f>CONCATENATE("2.st. ",úvod!$C$8," - ",M31)</f>
        <v>2.st. YOUNGER CADET BOYS - Skupina M</v>
      </c>
      <c r="N33" s="23">
        <f>A34</f>
        <v>5</v>
      </c>
      <c r="O33" s="23" t="str">
        <f>IF($N33=0,"bye",VLOOKUP($N33,seznam!$A$2:$C$268,2))</f>
        <v>Vacek Jan</v>
      </c>
      <c r="P33" s="23" t="str">
        <f>IF($N33=0,"",VLOOKUP($N33,seznam!$A$2:$D$268,4))</f>
        <v>Břeclav</v>
      </c>
      <c r="Q33" s="23">
        <f>A35</f>
        <v>42</v>
      </c>
      <c r="R33" s="23" t="str">
        <f>IF($Q33=0,"bye",VLOOKUP($Q33,seznam!$A$2:$C$268,2))</f>
        <v>Bareš David</v>
      </c>
      <c r="S33" s="23" t="str">
        <f>IF($Q33=0,"",VLOOKUP($Q33,seznam!$A$2:$D$268,4))</f>
        <v>TJ Bystřice pod Hostýnem</v>
      </c>
      <c r="T33" s="58" t="s">
        <v>211</v>
      </c>
      <c r="U33" s="59" t="s">
        <v>219</v>
      </c>
      <c r="V33" s="59" t="s">
        <v>213</v>
      </c>
      <c r="W33" s="59"/>
      <c r="X33" s="60"/>
      <c r="Y33" s="23">
        <f t="shared" si="39"/>
        <v>3</v>
      </c>
      <c r="Z33" s="23">
        <f t="shared" si="40"/>
        <v>0</v>
      </c>
      <c r="AA33" s="23">
        <f t="shared" si="41"/>
        <v>5</v>
      </c>
      <c r="AB33" s="23" t="str">
        <f>IF($AA33=0,"",VLOOKUP($AA33,seznam!$A$2:$C$268,2))</f>
        <v>Vacek Jan</v>
      </c>
      <c r="AC33" s="23" t="str">
        <f t="shared" si="42"/>
        <v>3:0 (5,12,9)</v>
      </c>
      <c r="AD33" s="23" t="str">
        <f t="shared" si="43"/>
        <v>3:0 (5,12,9)</v>
      </c>
      <c r="AE33" s="23">
        <f t="shared" si="44"/>
        <v>2</v>
      </c>
      <c r="AF33" s="23">
        <f t="shared" si="45"/>
        <v>1</v>
      </c>
      <c r="AH33" s="23">
        <f t="shared" si="46"/>
        <v>1</v>
      </c>
      <c r="AI33" s="23">
        <f t="shared" si="46"/>
        <v>1</v>
      </c>
      <c r="AJ33" s="23">
        <f t="shared" si="46"/>
        <v>1</v>
      </c>
      <c r="AK33" s="23">
        <f t="shared" si="46"/>
        <v>0</v>
      </c>
      <c r="AL33" s="23">
        <f t="shared" si="46"/>
        <v>0</v>
      </c>
      <c r="AN33" s="23" t="str">
        <f>CONCATENATE(AO33,AO34,AO35,AO36,)</f>
        <v>&lt;TR&gt;&lt;TD&gt;22&lt;TD width=200&gt;Eyal Baruch (Isreal )&lt;TD&gt;XXX&lt;TD&gt;3:0&lt;TD&gt;3:0&lt;TD&gt;3:0&lt;TD&gt;6&lt;TD&gt;1&lt;/TD&gt;&lt;/TR&gt;&lt;TR&gt;&lt;TD&gt;5&lt;TD width=200&gt;Vacek Jan (Břeclav)&lt;TD&gt;0:3&lt;TD&gt;XXX&lt;TD&gt;3:0&lt;TD&gt;1:3&lt;TD&gt;4&lt;TD&gt;3&lt;/TD&gt;&lt;/TR&gt;&lt;TR&gt;&lt;TD&gt;42&lt;TD width=200&gt;Bareš David (TJ Bystřice pod Hostýnem)&lt;TD&gt;0:3&lt;TD&gt;0:3&lt;TD&gt;XXX&lt;TD&gt;0:3&lt;TD&gt;3&lt;TD&gt;4&lt;/TD&gt;&lt;/TR&gt;&lt;TR&gt;&lt;TD&gt;31&lt;TD width=200&gt;Cyprich Radovan (MSK Čadca)&lt;TD&gt;0:3&lt;TD&gt;3:1&lt;TD&gt;3:0&lt;TD&gt;XXX&lt;TD&gt;5&lt;TD&gt;2&lt;/TD&gt;&lt;/TR&gt;</v>
      </c>
      <c r="AO33" s="23" t="str">
        <f>CONCATENATE("&lt;TR&gt;&lt;TD&gt;",A33,"&lt;TD width=200&gt;",B33,"&lt;TD&gt;",C33,"&lt;TD&gt;",D33,"&lt;TD&gt;",E33,"&lt;TD&gt;",F33,"&lt;TD&gt;",G33,"&lt;TD&gt;",H33,"&lt;/TD&gt;&lt;/TR&gt;")</f>
        <v>&lt;TR&gt;&lt;TD&gt;22&lt;TD width=200&gt;Eyal Baruch (Isreal )&lt;TD&gt;XXX&lt;TD&gt;3:0&lt;TD&gt;3:0&lt;TD&gt;3:0&lt;TD&gt;6&lt;TD&gt;1&lt;/TD&gt;&lt;/TR&gt;</v>
      </c>
      <c r="AP33" s="23" t="str">
        <f>CONCATENATE("&lt;TR&gt;&lt;TD&gt;",J33,"&lt;TD&gt;",K33,"&lt;/TD&gt;&lt;/TR&gt;")</f>
        <v>&lt;TR&gt;&lt;TD&gt;Vacek Jan - Bareš David&lt;TD&gt;3 : 0 (5,12,9)&lt;/TD&gt;&lt;/TR&gt;</v>
      </c>
    </row>
    <row r="34" spans="1:42" ht="16.5" customHeight="1">
      <c r="A34" s="26">
        <v>5</v>
      </c>
      <c r="B34" s="32" t="str">
        <f>IF($A34="","",CONCATENATE(VLOOKUP($A34,seznam!$A$2:$B$268,2)," (",VLOOKUP($A34,seznam!$A$2:$E$269,4),")"))</f>
        <v>Vacek Jan (Břeclav)</v>
      </c>
      <c r="C34" s="36" t="str">
        <f>IF(Y35+Z35=0,"",CONCATENATE(Z35,":",Y35))</f>
        <v>0:3</v>
      </c>
      <c r="D34" s="27" t="s">
        <v>30</v>
      </c>
      <c r="E34" s="27" t="str">
        <f>IF(Y33+Z33=0,"",CONCATENATE(Y33,":",Z33))</f>
        <v>3:0</v>
      </c>
      <c r="F34" s="28" t="str">
        <f>IF(Y36+Z36=0,"",CONCATENATE(Y36,":",Z36))</f>
        <v>1:3</v>
      </c>
      <c r="G34" s="34">
        <f>IF(AE33+AF35+AE36=0,"",AE33+AF35+AE36)</f>
        <v>4</v>
      </c>
      <c r="H34" s="28">
        <v>3</v>
      </c>
      <c r="J34" s="23" t="str">
        <f t="shared" si="37"/>
        <v>Cyprich Radovan - Bareš David</v>
      </c>
      <c r="K34" s="23" t="str">
        <f t="shared" si="38"/>
        <v>3 : 0 (12,8,8)</v>
      </c>
      <c r="M34" s="23" t="str">
        <f>CONCATENATE("2.st. ",úvod!$C$8," - ",M31)</f>
        <v>2.st. YOUNGER CADET BOYS - Skupina M</v>
      </c>
      <c r="N34" s="23">
        <f>A36</f>
        <v>31</v>
      </c>
      <c r="O34" s="23" t="str">
        <f>IF($N34=0,"bye",VLOOKUP($N34,seznam!$A$2:$C$268,2))</f>
        <v>Cyprich Radovan</v>
      </c>
      <c r="P34" s="23" t="str">
        <f>IF($N34=0,"",VLOOKUP($N34,seznam!$A$2:$D$268,4))</f>
        <v>MSK Čadca</v>
      </c>
      <c r="Q34" s="23">
        <f>A35</f>
        <v>42</v>
      </c>
      <c r="R34" s="23" t="str">
        <f>IF($Q34=0,"bye",VLOOKUP($Q34,seznam!$A$2:$C$268,2))</f>
        <v>Bareš David</v>
      </c>
      <c r="S34" s="23" t="str">
        <f>IF($Q34=0,"",VLOOKUP($Q34,seznam!$A$2:$D$268,4))</f>
        <v>TJ Bystřice pod Hostýnem</v>
      </c>
      <c r="T34" s="58" t="s">
        <v>219</v>
      </c>
      <c r="U34" s="59" t="s">
        <v>208</v>
      </c>
      <c r="V34" s="59" t="s">
        <v>208</v>
      </c>
      <c r="W34" s="59"/>
      <c r="X34" s="60"/>
      <c r="Y34" s="23">
        <f t="shared" si="39"/>
        <v>3</v>
      </c>
      <c r="Z34" s="23">
        <f t="shared" si="40"/>
        <v>0</v>
      </c>
      <c r="AA34" s="23">
        <f t="shared" si="41"/>
        <v>31</v>
      </c>
      <c r="AB34" s="23" t="str">
        <f>IF($AA34=0,"",VLOOKUP($AA34,seznam!$A$2:$C$268,2))</f>
        <v>Cyprich Radovan</v>
      </c>
      <c r="AC34" s="23" t="str">
        <f t="shared" si="42"/>
        <v>3:0 (12,8,8)</v>
      </c>
      <c r="AD34" s="23" t="str">
        <f t="shared" si="43"/>
        <v>3:0 (12,8,8)</v>
      </c>
      <c r="AE34" s="23">
        <f t="shared" si="44"/>
        <v>2</v>
      </c>
      <c r="AF34" s="23">
        <f t="shared" si="45"/>
        <v>1</v>
      </c>
      <c r="AH34" s="23">
        <f t="shared" si="46"/>
        <v>1</v>
      </c>
      <c r="AI34" s="23">
        <f t="shared" si="46"/>
        <v>1</v>
      </c>
      <c r="AJ34" s="23">
        <f t="shared" si="46"/>
        <v>1</v>
      </c>
      <c r="AK34" s="23">
        <f t="shared" si="46"/>
        <v>0</v>
      </c>
      <c r="AL34" s="23">
        <f t="shared" si="46"/>
        <v>0</v>
      </c>
      <c r="AN34" s="23" t="str">
        <f>CONCATENATE("&lt;/Table&gt;&lt;TD width=420&gt;&lt;Table&gt;")</f>
        <v>&lt;/Table&gt;&lt;TD width=420&gt;&lt;Table&gt;</v>
      </c>
      <c r="AO34" s="23" t="str">
        <f>CONCATENATE("&lt;TR&gt;&lt;TD&gt;",A34,"&lt;TD width=200&gt;",B34,"&lt;TD&gt;",C34,"&lt;TD&gt;",D34,"&lt;TD&gt;",E34,"&lt;TD&gt;",F34,"&lt;TD&gt;",G34,"&lt;TD&gt;",H34,"&lt;/TD&gt;&lt;/TR&gt;")</f>
        <v>&lt;TR&gt;&lt;TD&gt;5&lt;TD width=200&gt;Vacek Jan (Břeclav)&lt;TD&gt;0:3&lt;TD&gt;XXX&lt;TD&gt;3:0&lt;TD&gt;1:3&lt;TD&gt;4&lt;TD&gt;3&lt;/TD&gt;&lt;/TR&gt;</v>
      </c>
      <c r="AP34" s="23" t="str">
        <f>CONCATENATE("&lt;TR&gt;&lt;TD&gt;",J34,"&lt;TD&gt;",K34,"&lt;/TD&gt;&lt;/TR&gt;")</f>
        <v>&lt;TR&gt;&lt;TD&gt;Cyprich Radovan - Bareš David&lt;TD&gt;3 : 0 (12,8,8)&lt;/TD&gt;&lt;/TR&gt;</v>
      </c>
    </row>
    <row r="35" spans="1:42" ht="16.5" customHeight="1">
      <c r="A35" s="26">
        <v>42</v>
      </c>
      <c r="B35" s="32" t="str">
        <f>IF($A35="","",CONCATENATE(VLOOKUP($A35,seznam!$A$2:$B$268,2)," (",VLOOKUP($A35,seznam!$A$2:$E$269,4),")"))</f>
        <v>Bareš David (TJ Bystřice pod Hostýnem)</v>
      </c>
      <c r="C35" s="36" t="str">
        <f>IF(Y37+Z37=0,"",CONCATENATE(Y37,":",Z37))</f>
        <v>0:3</v>
      </c>
      <c r="D35" s="27" t="str">
        <f>IF(Y33+Z33=0,"",CONCATENATE(Z33,":",Y33))</f>
        <v>0:3</v>
      </c>
      <c r="E35" s="27" t="s">
        <v>30</v>
      </c>
      <c r="F35" s="28" t="str">
        <f>IF(Y34+Z34=0,"",CONCATENATE(Z34,":",Y34))</f>
        <v>0:3</v>
      </c>
      <c r="G35" s="34">
        <f>IF(AF33+AF34+AE37=0,"",AF33+AF34+AE37)</f>
        <v>3</v>
      </c>
      <c r="H35" s="28">
        <v>4</v>
      </c>
      <c r="J35" s="23" t="str">
        <f t="shared" si="37"/>
        <v>Eyal Baruch - Vacek Jan</v>
      </c>
      <c r="K35" s="23" t="str">
        <f t="shared" si="38"/>
        <v>3 : 0 (6,1,6)</v>
      </c>
      <c r="M35" s="23" t="str">
        <f>CONCATENATE("2.st. ",úvod!$C$8," - ",M31)</f>
        <v>2.st. YOUNGER CADET BOYS - Skupina M</v>
      </c>
      <c r="N35" s="23">
        <f>A33</f>
        <v>22</v>
      </c>
      <c r="O35" s="23" t="str">
        <f>IF($N35=0,"bye",VLOOKUP($N35,seznam!$A$2:$C$268,2))</f>
        <v>Eyal Baruch</v>
      </c>
      <c r="P35" s="23" t="str">
        <f>IF($N35=0,"",VLOOKUP($N35,seznam!$A$2:$D$268,4))</f>
        <v>Isreal </v>
      </c>
      <c r="Q35" s="23">
        <f>A34</f>
        <v>5</v>
      </c>
      <c r="R35" s="23" t="str">
        <f>IF($Q35=0,"bye",VLOOKUP($Q35,seznam!$A$2:$C$268,2))</f>
        <v>Vacek Jan</v>
      </c>
      <c r="S35" s="23" t="str">
        <f>IF($Q35=0,"",VLOOKUP($Q35,seznam!$A$2:$D$268,4))</f>
        <v>Břeclav</v>
      </c>
      <c r="T35" s="58" t="s">
        <v>210</v>
      </c>
      <c r="U35" s="59" t="s">
        <v>205</v>
      </c>
      <c r="V35" s="59" t="s">
        <v>210</v>
      </c>
      <c r="W35" s="59"/>
      <c r="X35" s="60"/>
      <c r="Y35" s="23">
        <f t="shared" si="39"/>
        <v>3</v>
      </c>
      <c r="Z35" s="23">
        <f t="shared" si="40"/>
        <v>0</v>
      </c>
      <c r="AA35" s="23">
        <f t="shared" si="41"/>
        <v>22</v>
      </c>
      <c r="AB35" s="23" t="str">
        <f>IF($AA35=0,"",VLOOKUP($AA35,seznam!$A$2:$C$268,2))</f>
        <v>Eyal Baruch</v>
      </c>
      <c r="AC35" s="23" t="str">
        <f t="shared" si="42"/>
        <v>3:0 (6,1,6)</v>
      </c>
      <c r="AD35" s="23" t="str">
        <f t="shared" si="43"/>
        <v>3:0 (6,1,6)</v>
      </c>
      <c r="AE35" s="23">
        <f t="shared" si="44"/>
        <v>2</v>
      </c>
      <c r="AF35" s="23">
        <f t="shared" si="45"/>
        <v>1</v>
      </c>
      <c r="AH35" s="23">
        <f t="shared" si="46"/>
        <v>1</v>
      </c>
      <c r="AI35" s="23">
        <f t="shared" si="46"/>
        <v>1</v>
      </c>
      <c r="AJ35" s="23">
        <f t="shared" si="46"/>
        <v>1</v>
      </c>
      <c r="AK35" s="23">
        <f t="shared" si="46"/>
        <v>0</v>
      </c>
      <c r="AL35" s="23">
        <f t="shared" si="46"/>
        <v>0</v>
      </c>
      <c r="AN35" s="23" t="str">
        <f>CONCATENATE(AP32,AP33,AP34,AP35,AP36,AP37,)</f>
        <v>&lt;TR&gt;&lt;TD width=250&gt;Eyal Baruch - Cyprich Radovan&lt;TD&gt;3 : 0 (3,9,8)&lt;/TD&gt;&lt;/TR&gt;&lt;TR&gt;&lt;TD&gt;Vacek Jan - Bareš David&lt;TD&gt;3 : 0 (5,12,9)&lt;/TD&gt;&lt;/TR&gt;&lt;TR&gt;&lt;TD&gt;Cyprich Radovan - Bareš David&lt;TD&gt;3 : 0 (12,8,8)&lt;/TD&gt;&lt;/TR&gt;&lt;TR&gt;&lt;TD&gt;Eyal Baruch - Vacek Jan&lt;TD&gt;3 : 0 (6,1,6)&lt;/TD&gt;&lt;/TR&gt;&lt;TR&gt;&lt;TD&gt;Vacek Jan - Cyprich Radovan&lt;TD&gt;1 : 3 (-9,9,-9,-8)&lt;/TD&gt;&lt;/TR&gt;&lt;TR&gt;&lt;TD&gt;Bareš David - Eyal Baruch&lt;TD&gt;0 : 3 (-2,-5,-4)&lt;/TD&gt;&lt;/TR&gt;</v>
      </c>
      <c r="AO35" s="23" t="str">
        <f>CONCATENATE("&lt;TR&gt;&lt;TD&gt;",A35,"&lt;TD width=200&gt;",B35,"&lt;TD&gt;",C35,"&lt;TD&gt;",D35,"&lt;TD&gt;",E35,"&lt;TD&gt;",F35,"&lt;TD&gt;",G35,"&lt;TD&gt;",H35,"&lt;/TD&gt;&lt;/TR&gt;")</f>
        <v>&lt;TR&gt;&lt;TD&gt;42&lt;TD width=200&gt;Bareš David (TJ Bystřice pod Hostýnem)&lt;TD&gt;0:3&lt;TD&gt;0:3&lt;TD&gt;XXX&lt;TD&gt;0:3&lt;TD&gt;3&lt;TD&gt;4&lt;/TD&gt;&lt;/TR&gt;</v>
      </c>
      <c r="AP35" s="23" t="str">
        <f>CONCATENATE("&lt;TR&gt;&lt;TD&gt;",J35,"&lt;TD&gt;",K35,"&lt;/TD&gt;&lt;/TR&gt;")</f>
        <v>&lt;TR&gt;&lt;TD&gt;Eyal Baruch - Vacek Jan&lt;TD&gt;3 : 0 (6,1,6)&lt;/TD&gt;&lt;/TR&gt;</v>
      </c>
    </row>
    <row r="36" spans="1:42" ht="16.5" customHeight="1" thickBot="1">
      <c r="A36" s="29">
        <v>31</v>
      </c>
      <c r="B36" s="33" t="str">
        <f>IF($A36="","",CONCATENATE(VLOOKUP($A36,seznam!$A$2:$B$268,2)," (",VLOOKUP($A36,seznam!$A$2:$E$269,4),")"))</f>
        <v>Cyprich Radovan (MSK Čadca)</v>
      </c>
      <c r="C36" s="37" t="str">
        <f>IF(Y32+Z32=0,"",CONCATENATE(Z32,":",Y32))</f>
        <v>0:3</v>
      </c>
      <c r="D36" s="30" t="str">
        <f>IF(Y36+Z36=0,"",CONCATENATE(Z36,":",Y36))</f>
        <v>3:1</v>
      </c>
      <c r="E36" s="30" t="str">
        <f>IF(Y34+Z34=0,"",CONCATENATE(Y34,":",Z34))</f>
        <v>3:0</v>
      </c>
      <c r="F36" s="31" t="s">
        <v>30</v>
      </c>
      <c r="G36" s="35">
        <f>IF(AF32+AE34+AF36=0,"",AF32+AE34+AF36)</f>
        <v>5</v>
      </c>
      <c r="H36" s="31">
        <v>2</v>
      </c>
      <c r="J36" s="23" t="str">
        <f t="shared" si="37"/>
        <v>Vacek Jan - Cyprich Radovan</v>
      </c>
      <c r="K36" s="23" t="str">
        <f t="shared" si="38"/>
        <v>1 : 3 (-9,9,-9,-8)</v>
      </c>
      <c r="M36" s="23" t="str">
        <f>CONCATENATE("2.st. ",úvod!$C$8," - ",M31)</f>
        <v>2.st. YOUNGER CADET BOYS - Skupina M</v>
      </c>
      <c r="N36" s="23">
        <f>A34</f>
        <v>5</v>
      </c>
      <c r="O36" s="23" t="str">
        <f>IF($N36=0,"bye",VLOOKUP($N36,seznam!$A$2:$C$268,2))</f>
        <v>Vacek Jan</v>
      </c>
      <c r="P36" s="23" t="str">
        <f>IF($N36=0,"",VLOOKUP($N36,seznam!$A$2:$D$268,4))</f>
        <v>Břeclav</v>
      </c>
      <c r="Q36" s="23">
        <f>A36</f>
        <v>31</v>
      </c>
      <c r="R36" s="23" t="str">
        <f>IF($Q36=0,"bye",VLOOKUP($Q36,seznam!$A$2:$C$268,2))</f>
        <v>Cyprich Radovan</v>
      </c>
      <c r="S36" s="23" t="str">
        <f>IF($Q36=0,"",VLOOKUP($Q36,seznam!$A$2:$D$268,4))</f>
        <v>MSK Čadca</v>
      </c>
      <c r="T36" s="58" t="s">
        <v>207</v>
      </c>
      <c r="U36" s="59" t="s">
        <v>213</v>
      </c>
      <c r="V36" s="59" t="s">
        <v>207</v>
      </c>
      <c r="W36" s="59" t="s">
        <v>215</v>
      </c>
      <c r="X36" s="60"/>
      <c r="Y36" s="23">
        <f t="shared" si="39"/>
        <v>1</v>
      </c>
      <c r="Z36" s="23">
        <f t="shared" si="40"/>
        <v>3</v>
      </c>
      <c r="AA36" s="23">
        <f t="shared" si="41"/>
        <v>31</v>
      </c>
      <c r="AB36" s="23" t="str">
        <f>IF($AA36=0,"",VLOOKUP($AA36,seznam!$A$2:$C$268,2))</f>
        <v>Cyprich Radovan</v>
      </c>
      <c r="AC36" s="23" t="str">
        <f t="shared" si="42"/>
        <v>3:1 (9,-9,9,8)</v>
      </c>
      <c r="AD36" s="23" t="str">
        <f t="shared" si="43"/>
        <v>3:1 (9,-9,9,8)</v>
      </c>
      <c r="AE36" s="23">
        <f t="shared" si="44"/>
        <v>1</v>
      </c>
      <c r="AF36" s="23">
        <f t="shared" si="45"/>
        <v>2</v>
      </c>
      <c r="AH36" s="23">
        <f t="shared" si="46"/>
        <v>-1</v>
      </c>
      <c r="AI36" s="23">
        <f t="shared" si="46"/>
        <v>1</v>
      </c>
      <c r="AJ36" s="23">
        <f t="shared" si="46"/>
        <v>-1</v>
      </c>
      <c r="AK36" s="23">
        <f t="shared" si="46"/>
        <v>-1</v>
      </c>
      <c r="AL36" s="23">
        <f t="shared" si="46"/>
        <v>0</v>
      </c>
      <c r="AN36" s="23" t="str">
        <f>CONCATENATE("&lt;/Table&gt;&lt;/TD&gt;&lt;/TR&gt;&lt;/Table&gt;&lt;P&gt;")</f>
        <v>&lt;/Table&gt;&lt;/TD&gt;&lt;/TR&gt;&lt;/Table&gt;&lt;P&gt;</v>
      </c>
      <c r="AO36" s="23" t="str">
        <f>CONCATENATE("&lt;TR&gt;&lt;TD&gt;",A36,"&lt;TD width=200&gt;",B36,"&lt;TD&gt;",C36,"&lt;TD&gt;",D36,"&lt;TD&gt;",E36,"&lt;TD&gt;",F36,"&lt;TD&gt;",G36,"&lt;TD&gt;",H36,"&lt;/TD&gt;&lt;/TR&gt;")</f>
        <v>&lt;TR&gt;&lt;TD&gt;31&lt;TD width=200&gt;Cyprich Radovan (MSK Čadca)&lt;TD&gt;0:3&lt;TD&gt;3:1&lt;TD&gt;3:0&lt;TD&gt;XXX&lt;TD&gt;5&lt;TD&gt;2&lt;/TD&gt;&lt;/TR&gt;</v>
      </c>
      <c r="AP36" s="23" t="str">
        <f>CONCATENATE("&lt;TR&gt;&lt;TD&gt;",J36,"&lt;TD&gt;",K36,"&lt;/TD&gt;&lt;/TR&gt;")</f>
        <v>&lt;TR&gt;&lt;TD&gt;Vacek Jan - Cyprich Radovan&lt;TD&gt;1 : 3 (-9,9,-9,-8)&lt;/TD&gt;&lt;/TR&gt;</v>
      </c>
    </row>
    <row r="37" spans="10:42" ht="16.5" customHeight="1" thickBot="1" thickTop="1">
      <c r="J37" s="23" t="str">
        <f t="shared" si="37"/>
        <v>Bareš David - Eyal Baruch</v>
      </c>
      <c r="K37" s="23" t="str">
        <f t="shared" si="38"/>
        <v>0 : 3 (-2,-5,-4)</v>
      </c>
      <c r="M37" s="23" t="str">
        <f>CONCATENATE("2.st. ",úvod!$C$8," - ",M31)</f>
        <v>2.st. YOUNGER CADET BOYS - Skupina M</v>
      </c>
      <c r="N37" s="23">
        <f>A35</f>
        <v>42</v>
      </c>
      <c r="O37" s="23" t="str">
        <f>IF($N37=0,"bye",VLOOKUP($N37,seznam!$A$2:$C$268,2))</f>
        <v>Bareš David</v>
      </c>
      <c r="P37" s="23" t="str">
        <f>IF($N37=0,"",VLOOKUP($N37,seznam!$A$2:$D$268,4))</f>
        <v>TJ Bystřice pod Hostýnem</v>
      </c>
      <c r="Q37" s="23">
        <f>A33</f>
        <v>22</v>
      </c>
      <c r="R37" s="23" t="str">
        <f>IF($Q37=0,"bye",VLOOKUP($Q37,seznam!$A$2:$C$268,2))</f>
        <v>Eyal Baruch</v>
      </c>
      <c r="S37" s="23" t="str">
        <f>IF($Q37=0,"",VLOOKUP($Q37,seznam!$A$2:$D$268,4))</f>
        <v>Isreal </v>
      </c>
      <c r="T37" s="61" t="s">
        <v>229</v>
      </c>
      <c r="U37" s="62" t="s">
        <v>224</v>
      </c>
      <c r="V37" s="62" t="s">
        <v>225</v>
      </c>
      <c r="W37" s="62"/>
      <c r="X37" s="63"/>
      <c r="Y37" s="23">
        <f t="shared" si="39"/>
        <v>0</v>
      </c>
      <c r="Z37" s="23">
        <f t="shared" si="40"/>
        <v>3</v>
      </c>
      <c r="AA37" s="23">
        <f t="shared" si="41"/>
        <v>22</v>
      </c>
      <c r="AB37" s="23" t="str">
        <f>IF($AA37=0,"",VLOOKUP($AA37,seznam!$A$2:$C$268,2))</f>
        <v>Eyal Baruch</v>
      </c>
      <c r="AC37" s="23" t="str">
        <f t="shared" si="42"/>
        <v>3:0 (2,5,4)</v>
      </c>
      <c r="AD37" s="23" t="str">
        <f t="shared" si="43"/>
        <v>3:0 (2,5,4)</v>
      </c>
      <c r="AE37" s="23">
        <f t="shared" si="44"/>
        <v>1</v>
      </c>
      <c r="AF37" s="23">
        <f t="shared" si="45"/>
        <v>2</v>
      </c>
      <c r="AH37" s="23">
        <f t="shared" si="46"/>
        <v>-1</v>
      </c>
      <c r="AI37" s="23">
        <f t="shared" si="46"/>
        <v>-1</v>
      </c>
      <c r="AJ37" s="23">
        <f t="shared" si="46"/>
        <v>-1</v>
      </c>
      <c r="AK37" s="23">
        <f t="shared" si="46"/>
        <v>0</v>
      </c>
      <c r="AL37" s="23">
        <f t="shared" si="46"/>
        <v>0</v>
      </c>
      <c r="AP37" s="23" t="str">
        <f>CONCATENATE("&lt;TR&gt;&lt;TD&gt;",J37,"&lt;TD&gt;",K37,"&lt;/TD&gt;&lt;/TR&gt;")</f>
        <v>&lt;TR&gt;&lt;TD&gt;Bareš David - Eyal Baruch&lt;TD&gt;0 : 3 (-2,-5,-4)&lt;/TD&gt;&lt;/TR&gt;</v>
      </c>
    </row>
    <row r="38" spans="13:40" ht="16.5" customHeight="1" thickBot="1" thickTop="1">
      <c r="M38" s="24" t="str">
        <f>B39</f>
        <v>Skupina N</v>
      </c>
      <c r="N38" s="24" t="s">
        <v>0</v>
      </c>
      <c r="O38" s="24" t="s">
        <v>1</v>
      </c>
      <c r="P38" s="24" t="s">
        <v>2</v>
      </c>
      <c r="Q38" s="24" t="s">
        <v>0</v>
      </c>
      <c r="R38" s="24" t="s">
        <v>3</v>
      </c>
      <c r="S38" s="24" t="s">
        <v>2</v>
      </c>
      <c r="T38" s="25" t="s">
        <v>4</v>
      </c>
      <c r="U38" s="25" t="s">
        <v>5</v>
      </c>
      <c r="V38" s="25" t="s">
        <v>6</v>
      </c>
      <c r="W38" s="25" t="s">
        <v>7</v>
      </c>
      <c r="X38" s="25" t="s">
        <v>8</v>
      </c>
      <c r="Y38" s="24" t="s">
        <v>9</v>
      </c>
      <c r="Z38" s="24" t="s">
        <v>10</v>
      </c>
      <c r="AA38" s="24" t="s">
        <v>11</v>
      </c>
      <c r="AN38" s="23" t="s">
        <v>16</v>
      </c>
    </row>
    <row r="39" spans="1:42" ht="16.5" customHeight="1" thickBot="1" thickTop="1">
      <c r="A39" s="44"/>
      <c r="B39" s="45" t="s">
        <v>199</v>
      </c>
      <c r="C39" s="46">
        <v>1</v>
      </c>
      <c r="D39" s="47">
        <v>2</v>
      </c>
      <c r="E39" s="47">
        <v>3</v>
      </c>
      <c r="F39" s="48">
        <v>4</v>
      </c>
      <c r="G39" s="49" t="s">
        <v>14</v>
      </c>
      <c r="H39" s="48" t="s">
        <v>15</v>
      </c>
      <c r="J39" s="23" t="str">
        <f aca="true" t="shared" si="47" ref="J39:J44">CONCATENATE(O39," - ",R39)</f>
        <v>Plhák Martin - bye</v>
      </c>
      <c r="K39" s="23">
        <f aca="true" t="shared" si="48" ref="K39:K44">IF(SUM(Y39:Z39)=0,AD39,CONCATENATE(Y39," : ",Z39," (",T39,",",U39,",",V39,IF(Y39+Z39&gt;3,",",""),W39,IF(Y39+Z39&gt;4,",",""),X39,")"))</f>
      </c>
      <c r="M39" s="23" t="str">
        <f>CONCATENATE("2.st. ",úvod!$C$8," - ",M38)</f>
        <v>2.st. YOUNGER CADET BOYS - Skupina N</v>
      </c>
      <c r="N39" s="23">
        <f>A40</f>
        <v>57</v>
      </c>
      <c r="O39" s="23" t="str">
        <f>IF($N39=0,"bye",VLOOKUP($N39,seznam!$A$2:$C$268,2))</f>
        <v>Plhák Martin</v>
      </c>
      <c r="P39" s="23" t="str">
        <f>IF($N39=0,"",VLOOKUP($N39,seznam!$A$2:$D$268,4))</f>
        <v>Zlín </v>
      </c>
      <c r="Q39" s="23">
        <f>A43</f>
        <v>0</v>
      </c>
      <c r="R39" s="23" t="str">
        <f>IF($Q39=0,"bye",VLOOKUP($Q39,seznam!$A$2:$C$268,2))</f>
        <v>bye</v>
      </c>
      <c r="S39" s="23">
        <f>IF($Q39=0,"",VLOOKUP($Q39,seznam!$A$2:$D$268,4))</f>
      </c>
      <c r="T39" s="55"/>
      <c r="U39" s="56"/>
      <c r="V39" s="56"/>
      <c r="W39" s="56"/>
      <c r="X39" s="57"/>
      <c r="Y39" s="23">
        <f aca="true" t="shared" si="49" ref="Y39:Y44">COUNTIF(AH39:AL39,"&gt;0")</f>
        <v>0</v>
      </c>
      <c r="Z39" s="23">
        <f aca="true" t="shared" si="50" ref="Z39:Z44">COUNTIF(AH39:AL39,"&lt;0")</f>
        <v>0</v>
      </c>
      <c r="AA39" s="23">
        <f aca="true" t="shared" si="51" ref="AA39:AA44">IF(Y39=Z39,0,IF(Y39&gt;Z39,N39,Q39))</f>
        <v>0</v>
      </c>
      <c r="AB39" s="23">
        <f>IF($AA39=0,"",VLOOKUP($AA39,seznam!$A$2:$C$268,2))</f>
      </c>
      <c r="AC39" s="23">
        <f aca="true" t="shared" si="52" ref="AC39:AC44">IF(Y39=Z39,"",IF(Y39&gt;Z39,CONCATENATE(Y39,":",Z39," (",T39,",",U39,",",V39,IF(SUM(Y39:Z39)&gt;3,",",""),W39,IF(SUM(Y39:Z39)&gt;4,",",""),X39,")"),CONCATENATE(Z39,":",Y39," (",-T39,",",-U39,",",-V39,IF(SUM(Y39:Z39)&gt;3,CONCATENATE(",",-W39),""),IF(SUM(Y39:Z39)&gt;4,CONCATENATE(",",-X39),""),")")))</f>
      </c>
      <c r="AD39" s="23">
        <f aca="true" t="shared" si="53" ref="AD39:AD44">IF(SUM(Y39:Z39)=0,"",AC39)</f>
      </c>
      <c r="AE39" s="23">
        <f aca="true" t="shared" si="54" ref="AE39:AE44">IF(T39="",0,IF(Y39&gt;Z39,2,1))</f>
        <v>0</v>
      </c>
      <c r="AF39" s="23">
        <f aca="true" t="shared" si="55" ref="AF39:AF44">IF(T39="",0,IF(Z39&gt;Y39,2,1))</f>
        <v>0</v>
      </c>
      <c r="AH39" s="23">
        <f aca="true" t="shared" si="56" ref="AH39:AL44">IF(T39="",0,IF(MID(T39,1,1)="-",-1,1))</f>
        <v>0</v>
      </c>
      <c r="AI39" s="23">
        <f t="shared" si="56"/>
        <v>0</v>
      </c>
      <c r="AJ39" s="23">
        <f t="shared" si="56"/>
        <v>0</v>
      </c>
      <c r="AK39" s="23">
        <f t="shared" si="56"/>
        <v>0</v>
      </c>
      <c r="AL39" s="23">
        <f t="shared" si="56"/>
        <v>0</v>
      </c>
      <c r="AN39" s="23" t="str">
        <f>CONCATENATE("&lt;Table border=1 cellpading=0 cellspacing=0 width=480&gt;&lt;TR&gt;&lt;TH colspan=2&gt;",B39,"&lt;TH&gt;1&lt;TH&gt;2&lt;TH&gt;3&lt;TH&gt;4&lt;TH&gt;Body&lt;TH&gt;Pořadí&lt;/TH&gt;&lt;/TR&gt;")</f>
        <v>&lt;Table border=1 cellpading=0 cellspacing=0 width=480&gt;&lt;TR&gt;&lt;TH colspan=2&gt;Skupina N&lt;TH&gt;1&lt;TH&gt;2&lt;TH&gt;3&lt;TH&gt;4&lt;TH&gt;Body&lt;TH&gt;Pořadí&lt;/TH&gt;&lt;/TR&gt;</v>
      </c>
      <c r="AP39" s="23" t="str">
        <f>CONCATENATE("&lt;TR&gt;&lt;TD width=250&gt;",J39,"&lt;TD&gt;",K39,"&lt;/TD&gt;&lt;/TR&gt;")</f>
        <v>&lt;TR&gt;&lt;TD width=250&gt;Plhák Martin - bye&lt;TD&gt;&lt;/TD&gt;&lt;/TR&gt;</v>
      </c>
    </row>
    <row r="40" spans="1:42" ht="16.5" customHeight="1" thickTop="1">
      <c r="A40" s="38">
        <v>57</v>
      </c>
      <c r="B40" s="39" t="str">
        <f>IF($A40="","",CONCATENATE(VLOOKUP($A40,seznam!$A$2:$B$268,2)," (",VLOOKUP($A40,seznam!$A$2:$E$269,4),")"))</f>
        <v>Plhák Martin (Zlín )</v>
      </c>
      <c r="C40" s="40" t="s">
        <v>30</v>
      </c>
      <c r="D40" s="41" t="str">
        <f>IF(Y42+Z42=0,"",CONCATENATE(Y42,":",Z42))</f>
        <v>0:3</v>
      </c>
      <c r="E40" s="41" t="str">
        <f>IF(Y44+Z44=0,"",CONCATENATE(Z44,":",Y44))</f>
        <v>2:3</v>
      </c>
      <c r="F40" s="42">
        <f>IF(Y39+Z39=0,"",CONCATENATE(Y39,":",Z39))</f>
      </c>
      <c r="G40" s="43">
        <f>IF(AE39+AE42+AF44=0,"",AE39+AE42+AF44)</f>
        <v>2</v>
      </c>
      <c r="H40" s="42">
        <v>3</v>
      </c>
      <c r="J40" s="23" t="str">
        <f t="shared" si="47"/>
        <v>Bogdan Cosmin Singeorzan - Černota Filip</v>
      </c>
      <c r="K40" s="23" t="str">
        <f t="shared" si="48"/>
        <v>3 : 0 (5,7,1)</v>
      </c>
      <c r="M40" s="23" t="str">
        <f>CONCATENATE("2.st. ",úvod!$C$8," - ",M38)</f>
        <v>2.st. YOUNGER CADET BOYS - Skupina N</v>
      </c>
      <c r="N40" s="23">
        <f>A41</f>
        <v>35</v>
      </c>
      <c r="O40" s="23" t="str">
        <f>IF($N40=0,"bye",VLOOKUP($N40,seznam!$A$2:$C$268,2))</f>
        <v>Bogdan Cosmin Singeorzan</v>
      </c>
      <c r="P40" s="23" t="str">
        <f>IF($N40=0,"",VLOOKUP($N40,seznam!$A$2:$D$268,4))</f>
        <v>Rumunsko</v>
      </c>
      <c r="Q40" s="23">
        <f>A42</f>
        <v>48</v>
      </c>
      <c r="R40" s="23" t="str">
        <f>IF($Q40=0,"bye",VLOOKUP($Q40,seznam!$A$2:$C$268,2))</f>
        <v>Černota Filip</v>
      </c>
      <c r="S40" s="23" t="str">
        <f>IF($Q40=0,"",VLOOKUP($Q40,seznam!$A$2:$D$268,4))</f>
        <v>TTC Brandýs nad Labem</v>
      </c>
      <c r="T40" s="58" t="s">
        <v>211</v>
      </c>
      <c r="U40" s="59" t="s">
        <v>209</v>
      </c>
      <c r="V40" s="59" t="s">
        <v>205</v>
      </c>
      <c r="W40" s="59"/>
      <c r="X40" s="60"/>
      <c r="Y40" s="23">
        <f t="shared" si="49"/>
        <v>3</v>
      </c>
      <c r="Z40" s="23">
        <f t="shared" si="50"/>
        <v>0</v>
      </c>
      <c r="AA40" s="23">
        <f t="shared" si="51"/>
        <v>35</v>
      </c>
      <c r="AB40" s="23" t="str">
        <f>IF($AA40=0,"",VLOOKUP($AA40,seznam!$A$2:$C$268,2))</f>
        <v>Bogdan Cosmin Singeorzan</v>
      </c>
      <c r="AC40" s="23" t="str">
        <f t="shared" si="52"/>
        <v>3:0 (5,7,1)</v>
      </c>
      <c r="AD40" s="23" t="str">
        <f t="shared" si="53"/>
        <v>3:0 (5,7,1)</v>
      </c>
      <c r="AE40" s="23">
        <f t="shared" si="54"/>
        <v>2</v>
      </c>
      <c r="AF40" s="23">
        <f t="shared" si="55"/>
        <v>1</v>
      </c>
      <c r="AH40" s="23">
        <f t="shared" si="56"/>
        <v>1</v>
      </c>
      <c r="AI40" s="23">
        <f t="shared" si="56"/>
        <v>1</v>
      </c>
      <c r="AJ40" s="23">
        <f t="shared" si="56"/>
        <v>1</v>
      </c>
      <c r="AK40" s="23">
        <f t="shared" si="56"/>
        <v>0</v>
      </c>
      <c r="AL40" s="23">
        <f t="shared" si="56"/>
        <v>0</v>
      </c>
      <c r="AN40" s="23" t="str">
        <f>CONCATENATE(AO40,AO41,AO42,AO43,)</f>
        <v>&lt;TR&gt;&lt;TD&gt;57&lt;TD width=200&gt;Plhák Martin (Zlín )&lt;TD&gt;XXX&lt;TD&gt;0:3&lt;TD&gt;2:3&lt;TD&gt;&lt;TD&gt;2&lt;TD&gt;3&lt;/TD&gt;&lt;/TR&gt;&lt;TR&gt;&lt;TD&gt;35&lt;TD width=200&gt;Bogdan Cosmin Singeorzan (Rumunsko)&lt;TD&gt;3:0&lt;TD&gt;XXX&lt;TD&gt;3:0&lt;TD&gt;&lt;TD&gt;4&lt;TD&gt;1&lt;/TD&gt;&lt;/TR&gt;&lt;TR&gt;&lt;TD&gt;48&lt;TD width=200&gt;Černota Filip (TTC Brandýs nad Labem)&lt;TD&gt;3:2&lt;TD&gt;0:3&lt;TD&gt;XXX&lt;TD&gt;&lt;TD&gt;3&lt;TD&gt;2&lt;/TD&gt;&lt;/TR&gt;&lt;TR&gt;&lt;TD&gt;&lt;TD width=200&gt;&lt;TD&gt;&lt;TD&gt;&lt;TD&gt;&lt;TD&gt;XXX&lt;TD&gt;&lt;TD&gt;&lt;/TD&gt;&lt;/TR&gt;</v>
      </c>
      <c r="AO40" s="23" t="str">
        <f>CONCATENATE("&lt;TR&gt;&lt;TD&gt;",A40,"&lt;TD width=200&gt;",B40,"&lt;TD&gt;",C40,"&lt;TD&gt;",D40,"&lt;TD&gt;",E40,"&lt;TD&gt;",F40,"&lt;TD&gt;",G40,"&lt;TD&gt;",H40,"&lt;/TD&gt;&lt;/TR&gt;")</f>
        <v>&lt;TR&gt;&lt;TD&gt;57&lt;TD width=200&gt;Plhák Martin (Zlín )&lt;TD&gt;XXX&lt;TD&gt;0:3&lt;TD&gt;2:3&lt;TD&gt;&lt;TD&gt;2&lt;TD&gt;3&lt;/TD&gt;&lt;/TR&gt;</v>
      </c>
      <c r="AP40" s="23" t="str">
        <f>CONCATENATE("&lt;TR&gt;&lt;TD&gt;",J40,"&lt;TD&gt;",K40,"&lt;/TD&gt;&lt;/TR&gt;")</f>
        <v>&lt;TR&gt;&lt;TD&gt;Bogdan Cosmin Singeorzan - Černota Filip&lt;TD&gt;3 : 0 (5,7,1)&lt;/TD&gt;&lt;/TR&gt;</v>
      </c>
    </row>
    <row r="41" spans="1:42" ht="16.5" customHeight="1">
      <c r="A41" s="26">
        <v>35</v>
      </c>
      <c r="B41" s="32" t="str">
        <f>IF($A41="","",CONCATENATE(VLOOKUP($A41,seznam!$A$2:$B$268,2)," (",VLOOKUP($A41,seznam!$A$2:$E$269,4),")"))</f>
        <v>Bogdan Cosmin Singeorzan (Rumunsko)</v>
      </c>
      <c r="C41" s="36" t="str">
        <f>IF(Y42+Z42=0,"",CONCATENATE(Z42,":",Y42))</f>
        <v>3:0</v>
      </c>
      <c r="D41" s="27" t="s">
        <v>30</v>
      </c>
      <c r="E41" s="27" t="str">
        <f>IF(Y40+Z40=0,"",CONCATENATE(Y40,":",Z40))</f>
        <v>3:0</v>
      </c>
      <c r="F41" s="28">
        <f>IF(Y43+Z43=0,"",CONCATENATE(Y43,":",Z43))</f>
      </c>
      <c r="G41" s="34">
        <f>IF(AE40+AF42+AE43=0,"",AE40+AF42+AE43)</f>
        <v>4</v>
      </c>
      <c r="H41" s="28">
        <v>1</v>
      </c>
      <c r="J41" s="23" t="str">
        <f t="shared" si="47"/>
        <v>bye - Černota Filip</v>
      </c>
      <c r="K41" s="23">
        <f t="shared" si="48"/>
      </c>
      <c r="M41" s="23" t="str">
        <f>CONCATENATE("2.st. ",úvod!$C$8," - ",M38)</f>
        <v>2.st. YOUNGER CADET BOYS - Skupina N</v>
      </c>
      <c r="N41" s="23">
        <f>A43</f>
        <v>0</v>
      </c>
      <c r="O41" s="23" t="str">
        <f>IF($N41=0,"bye",VLOOKUP($N41,seznam!$A$2:$C$268,2))</f>
        <v>bye</v>
      </c>
      <c r="P41" s="23">
        <f>IF($N41=0,"",VLOOKUP($N41,seznam!$A$2:$D$268,4))</f>
      </c>
      <c r="Q41" s="23">
        <f>A42</f>
        <v>48</v>
      </c>
      <c r="R41" s="23" t="str">
        <f>IF($Q41=0,"bye",VLOOKUP($Q41,seznam!$A$2:$C$268,2))</f>
        <v>Černota Filip</v>
      </c>
      <c r="S41" s="23" t="str">
        <f>IF($Q41=0,"",VLOOKUP($Q41,seznam!$A$2:$D$268,4))</f>
        <v>TTC Brandýs nad Labem</v>
      </c>
      <c r="T41" s="58"/>
      <c r="U41" s="59"/>
      <c r="V41" s="59"/>
      <c r="W41" s="59"/>
      <c r="X41" s="60"/>
      <c r="Y41" s="23">
        <f t="shared" si="49"/>
        <v>0</v>
      </c>
      <c r="Z41" s="23">
        <f t="shared" si="50"/>
        <v>0</v>
      </c>
      <c r="AA41" s="23">
        <f t="shared" si="51"/>
        <v>0</v>
      </c>
      <c r="AB41" s="23">
        <f>IF($AA41=0,"",VLOOKUP($AA41,seznam!$A$2:$C$268,2))</f>
      </c>
      <c r="AC41" s="23">
        <f t="shared" si="52"/>
      </c>
      <c r="AD41" s="23">
        <f t="shared" si="53"/>
      </c>
      <c r="AE41" s="23">
        <f t="shared" si="54"/>
        <v>0</v>
      </c>
      <c r="AF41" s="23">
        <f t="shared" si="55"/>
        <v>0</v>
      </c>
      <c r="AH41" s="23">
        <f t="shared" si="56"/>
        <v>0</v>
      </c>
      <c r="AI41" s="23">
        <f t="shared" si="56"/>
        <v>0</v>
      </c>
      <c r="AJ41" s="23">
        <f t="shared" si="56"/>
        <v>0</v>
      </c>
      <c r="AK41" s="23">
        <f t="shared" si="56"/>
        <v>0</v>
      </c>
      <c r="AL41" s="23">
        <f t="shared" si="56"/>
        <v>0</v>
      </c>
      <c r="AN41" s="23" t="str">
        <f>CONCATENATE("&lt;/Table&gt;&lt;TD width=420&gt;&lt;Table&gt;")</f>
        <v>&lt;/Table&gt;&lt;TD width=420&gt;&lt;Table&gt;</v>
      </c>
      <c r="AO41" s="23" t="str">
        <f>CONCATENATE("&lt;TR&gt;&lt;TD&gt;",A41,"&lt;TD width=200&gt;",B41,"&lt;TD&gt;",C41,"&lt;TD&gt;",D41,"&lt;TD&gt;",E41,"&lt;TD&gt;",F41,"&lt;TD&gt;",G41,"&lt;TD&gt;",H41,"&lt;/TD&gt;&lt;/TR&gt;")</f>
        <v>&lt;TR&gt;&lt;TD&gt;35&lt;TD width=200&gt;Bogdan Cosmin Singeorzan (Rumunsko)&lt;TD&gt;3:0&lt;TD&gt;XXX&lt;TD&gt;3:0&lt;TD&gt;&lt;TD&gt;4&lt;TD&gt;1&lt;/TD&gt;&lt;/TR&gt;</v>
      </c>
      <c r="AP41" s="23" t="str">
        <f>CONCATENATE("&lt;TR&gt;&lt;TD&gt;",J41,"&lt;TD&gt;",K41,"&lt;/TD&gt;&lt;/TR&gt;")</f>
        <v>&lt;TR&gt;&lt;TD&gt;bye - Černota Filip&lt;TD&gt;&lt;/TD&gt;&lt;/TR&gt;</v>
      </c>
    </row>
    <row r="42" spans="1:42" ht="16.5" customHeight="1">
      <c r="A42" s="26">
        <v>48</v>
      </c>
      <c r="B42" s="32" t="str">
        <f>IF($A42="","",CONCATENATE(VLOOKUP($A42,seznam!$A$2:$B$268,2)," (",VLOOKUP($A42,seznam!$A$2:$E$269,4),")"))</f>
        <v>Černota Filip (TTC Brandýs nad Labem)</v>
      </c>
      <c r="C42" s="36" t="str">
        <f>IF(Y44+Z44=0,"",CONCATENATE(Y44,":",Z44))</f>
        <v>3:2</v>
      </c>
      <c r="D42" s="27" t="str">
        <f>IF(Y40+Z40=0,"",CONCATENATE(Z40,":",Y40))</f>
        <v>0:3</v>
      </c>
      <c r="E42" s="27" t="s">
        <v>30</v>
      </c>
      <c r="F42" s="28">
        <f>IF(Y41+Z41=0,"",CONCATENATE(Z41,":",Y41))</f>
      </c>
      <c r="G42" s="34">
        <f>IF(AF40+AF41+AE44=0,"",AF40+AF41+AE44)</f>
        <v>3</v>
      </c>
      <c r="H42" s="28">
        <v>2</v>
      </c>
      <c r="J42" s="23" t="str">
        <f t="shared" si="47"/>
        <v>Plhák Martin - Bogdan Cosmin Singeorzan</v>
      </c>
      <c r="K42" s="23" t="str">
        <f t="shared" si="48"/>
        <v>0 : 3 (-5,-9,-8)</v>
      </c>
      <c r="M42" s="23" t="str">
        <f>CONCATENATE("2.st. ",úvod!$C$8," - ",M38)</f>
        <v>2.st. YOUNGER CADET BOYS - Skupina N</v>
      </c>
      <c r="N42" s="23">
        <f>A40</f>
        <v>57</v>
      </c>
      <c r="O42" s="23" t="str">
        <f>IF($N42=0,"bye",VLOOKUP($N42,seznam!$A$2:$C$268,2))</f>
        <v>Plhák Martin</v>
      </c>
      <c r="P42" s="23" t="str">
        <f>IF($N42=0,"",VLOOKUP($N42,seznam!$A$2:$D$268,4))</f>
        <v>Zlín </v>
      </c>
      <c r="Q42" s="23">
        <f>A41</f>
        <v>35</v>
      </c>
      <c r="R42" s="23" t="str">
        <f>IF($Q42=0,"bye",VLOOKUP($Q42,seznam!$A$2:$C$268,2))</f>
        <v>Bogdan Cosmin Singeorzan</v>
      </c>
      <c r="S42" s="23" t="str">
        <f>IF($Q42=0,"",VLOOKUP($Q42,seznam!$A$2:$D$268,4))</f>
        <v>Rumunsko</v>
      </c>
      <c r="T42" s="58" t="s">
        <v>224</v>
      </c>
      <c r="U42" s="59" t="s">
        <v>207</v>
      </c>
      <c r="V42" s="59" t="s">
        <v>215</v>
      </c>
      <c r="W42" s="59"/>
      <c r="X42" s="60"/>
      <c r="Y42" s="23">
        <f t="shared" si="49"/>
        <v>0</v>
      </c>
      <c r="Z42" s="23">
        <f t="shared" si="50"/>
        <v>3</v>
      </c>
      <c r="AA42" s="23">
        <f t="shared" si="51"/>
        <v>35</v>
      </c>
      <c r="AB42" s="23" t="str">
        <f>IF($AA42=0,"",VLOOKUP($AA42,seznam!$A$2:$C$268,2))</f>
        <v>Bogdan Cosmin Singeorzan</v>
      </c>
      <c r="AC42" s="23" t="str">
        <f t="shared" si="52"/>
        <v>3:0 (5,9,8)</v>
      </c>
      <c r="AD42" s="23" t="str">
        <f t="shared" si="53"/>
        <v>3:0 (5,9,8)</v>
      </c>
      <c r="AE42" s="23">
        <f t="shared" si="54"/>
        <v>1</v>
      </c>
      <c r="AF42" s="23">
        <f t="shared" si="55"/>
        <v>2</v>
      </c>
      <c r="AH42" s="23">
        <f t="shared" si="56"/>
        <v>-1</v>
      </c>
      <c r="AI42" s="23">
        <f t="shared" si="56"/>
        <v>-1</v>
      </c>
      <c r="AJ42" s="23">
        <f t="shared" si="56"/>
        <v>-1</v>
      </c>
      <c r="AK42" s="23">
        <f t="shared" si="56"/>
        <v>0</v>
      </c>
      <c r="AL42" s="23">
        <f t="shared" si="56"/>
        <v>0</v>
      </c>
      <c r="AN42" s="23" t="str">
        <f>CONCATENATE(AP39,AP40,AP41,AP42,AP43,AP44,)</f>
        <v>&lt;TR&gt;&lt;TD width=250&gt;Plhák Martin - bye&lt;TD&gt;&lt;/TD&gt;&lt;/TR&gt;&lt;TR&gt;&lt;TD&gt;Bogdan Cosmin Singeorzan - Černota Filip&lt;TD&gt;3 : 0 (5,7,1)&lt;/TD&gt;&lt;/TR&gt;&lt;TR&gt;&lt;TD&gt;bye - Černota Filip&lt;TD&gt;&lt;/TD&gt;&lt;/TR&gt;&lt;TR&gt;&lt;TD&gt;Plhák Martin - Bogdan Cosmin Singeorzan&lt;TD&gt;0 : 3 (-5,-9,-8)&lt;/TD&gt;&lt;/TR&gt;&lt;TR&gt;&lt;TD&gt;Bogdan Cosmin Singeorzan - bye&lt;TD&gt;&lt;/TD&gt;&lt;/TR&gt;&lt;TR&gt;&lt;TD&gt;Černota Filip - Plhák Martin&lt;TD&gt;3 : 2 (-3,10,-10,10,7)&lt;/TD&gt;&lt;/TR&gt;</v>
      </c>
      <c r="AO42" s="23" t="str">
        <f>CONCATENATE("&lt;TR&gt;&lt;TD&gt;",A42,"&lt;TD width=200&gt;",B42,"&lt;TD&gt;",C42,"&lt;TD&gt;",D42,"&lt;TD&gt;",E42,"&lt;TD&gt;",F42,"&lt;TD&gt;",G42,"&lt;TD&gt;",H42,"&lt;/TD&gt;&lt;/TR&gt;")</f>
        <v>&lt;TR&gt;&lt;TD&gt;48&lt;TD width=200&gt;Černota Filip (TTC Brandýs nad Labem)&lt;TD&gt;3:2&lt;TD&gt;0:3&lt;TD&gt;XXX&lt;TD&gt;&lt;TD&gt;3&lt;TD&gt;2&lt;/TD&gt;&lt;/TR&gt;</v>
      </c>
      <c r="AP42" s="23" t="str">
        <f>CONCATENATE("&lt;TR&gt;&lt;TD&gt;",J42,"&lt;TD&gt;",K42,"&lt;/TD&gt;&lt;/TR&gt;")</f>
        <v>&lt;TR&gt;&lt;TD&gt;Plhák Martin - Bogdan Cosmin Singeorzan&lt;TD&gt;0 : 3 (-5,-9,-8)&lt;/TD&gt;&lt;/TR&gt;</v>
      </c>
    </row>
    <row r="43" spans="1:42" ht="16.5" customHeight="1" thickBot="1">
      <c r="A43" s="29"/>
      <c r="B43" s="33">
        <f>IF($A43="","",CONCATENATE(VLOOKUP($A43,seznam!$A$2:$B$268,2)," (",VLOOKUP($A43,seznam!$A$2:$E$269,4),")"))</f>
      </c>
      <c r="C43" s="37">
        <f>IF(Y39+Z39=0,"",CONCATENATE(Z39,":",Y39))</f>
      </c>
      <c r="D43" s="30">
        <f>IF(Y43+Z43=0,"",CONCATENATE(Z43,":",Y43))</f>
      </c>
      <c r="E43" s="30">
        <f>IF(Y41+Z41=0,"",CONCATENATE(Y41,":",Z41))</f>
      </c>
      <c r="F43" s="31" t="s">
        <v>30</v>
      </c>
      <c r="G43" s="35">
        <f>IF(AF39+AE41+AF43=0,"",AF39+AE41+AF43)</f>
      </c>
      <c r="H43" s="31"/>
      <c r="J43" s="23" t="str">
        <f t="shared" si="47"/>
        <v>Bogdan Cosmin Singeorzan - bye</v>
      </c>
      <c r="K43" s="23">
        <f t="shared" si="48"/>
      </c>
      <c r="M43" s="23" t="str">
        <f>CONCATENATE("2.st. ",úvod!$C$8," - ",M38)</f>
        <v>2.st. YOUNGER CADET BOYS - Skupina N</v>
      </c>
      <c r="N43" s="23">
        <f>A41</f>
        <v>35</v>
      </c>
      <c r="O43" s="23" t="str">
        <f>IF($N43=0,"bye",VLOOKUP($N43,seznam!$A$2:$C$268,2))</f>
        <v>Bogdan Cosmin Singeorzan</v>
      </c>
      <c r="P43" s="23" t="str">
        <f>IF($N43=0,"",VLOOKUP($N43,seznam!$A$2:$D$268,4))</f>
        <v>Rumunsko</v>
      </c>
      <c r="Q43" s="23">
        <f>A43</f>
        <v>0</v>
      </c>
      <c r="R43" s="23" t="str">
        <f>IF($Q43=0,"bye",VLOOKUP($Q43,seznam!$A$2:$C$268,2))</f>
        <v>bye</v>
      </c>
      <c r="S43" s="23">
        <f>IF($Q43=0,"",VLOOKUP($Q43,seznam!$A$2:$D$268,4))</f>
      </c>
      <c r="T43" s="58"/>
      <c r="U43" s="59"/>
      <c r="V43" s="59"/>
      <c r="W43" s="59"/>
      <c r="X43" s="60"/>
      <c r="Y43" s="23">
        <f t="shared" si="49"/>
        <v>0</v>
      </c>
      <c r="Z43" s="23">
        <f t="shared" si="50"/>
        <v>0</v>
      </c>
      <c r="AA43" s="23">
        <f t="shared" si="51"/>
        <v>0</v>
      </c>
      <c r="AB43" s="23">
        <f>IF($AA43=0,"",VLOOKUP($AA43,seznam!$A$2:$C$268,2))</f>
      </c>
      <c r="AC43" s="23">
        <f t="shared" si="52"/>
      </c>
      <c r="AD43" s="23">
        <f t="shared" si="53"/>
      </c>
      <c r="AE43" s="23">
        <f t="shared" si="54"/>
        <v>0</v>
      </c>
      <c r="AF43" s="23">
        <f t="shared" si="55"/>
        <v>0</v>
      </c>
      <c r="AH43" s="23">
        <f t="shared" si="56"/>
        <v>0</v>
      </c>
      <c r="AI43" s="23">
        <f t="shared" si="56"/>
        <v>0</v>
      </c>
      <c r="AJ43" s="23">
        <f t="shared" si="56"/>
        <v>0</v>
      </c>
      <c r="AK43" s="23">
        <f t="shared" si="56"/>
        <v>0</v>
      </c>
      <c r="AL43" s="23">
        <f t="shared" si="56"/>
        <v>0</v>
      </c>
      <c r="AN43" s="23" t="str">
        <f>CONCATENATE("&lt;/Table&gt;&lt;/TD&gt;&lt;/TR&gt;&lt;/Table&gt;&lt;P&gt;")</f>
        <v>&lt;/Table&gt;&lt;/TD&gt;&lt;/TR&gt;&lt;/Table&gt;&lt;P&gt;</v>
      </c>
      <c r="AO43" s="23" t="str">
        <f>CONCATENATE("&lt;TR&gt;&lt;TD&gt;",A43,"&lt;TD width=200&gt;",B43,"&lt;TD&gt;",C43,"&lt;TD&gt;",D43,"&lt;TD&gt;",E43,"&lt;TD&gt;",F43,"&lt;TD&gt;",G43,"&lt;TD&gt;",H43,"&lt;/TD&gt;&lt;/TR&gt;")</f>
        <v>&lt;TR&gt;&lt;TD&gt;&lt;TD width=200&gt;&lt;TD&gt;&lt;TD&gt;&lt;TD&gt;&lt;TD&gt;XXX&lt;TD&gt;&lt;TD&gt;&lt;/TD&gt;&lt;/TR&gt;</v>
      </c>
      <c r="AP43" s="23" t="str">
        <f>CONCATENATE("&lt;TR&gt;&lt;TD&gt;",J43,"&lt;TD&gt;",K43,"&lt;/TD&gt;&lt;/TR&gt;")</f>
        <v>&lt;TR&gt;&lt;TD&gt;Bogdan Cosmin Singeorzan - bye&lt;TD&gt;&lt;/TD&gt;&lt;/TR&gt;</v>
      </c>
    </row>
    <row r="44" spans="10:42" ht="16.5" customHeight="1" thickBot="1" thickTop="1">
      <c r="J44" s="23" t="str">
        <f t="shared" si="47"/>
        <v>Černota Filip - Plhák Martin</v>
      </c>
      <c r="K44" s="23" t="str">
        <f t="shared" si="48"/>
        <v>3 : 2 (-3,10,-10,10,7)</v>
      </c>
      <c r="M44" s="23" t="str">
        <f>CONCATENATE("2.st. ",úvod!$C$8," - ",M38)</f>
        <v>2.st. YOUNGER CADET BOYS - Skupina N</v>
      </c>
      <c r="N44" s="23">
        <f>A42</f>
        <v>48</v>
      </c>
      <c r="O44" s="23" t="str">
        <f>IF($N44=0,"bye",VLOOKUP($N44,seznam!$A$2:$C$268,2))</f>
        <v>Černota Filip</v>
      </c>
      <c r="P44" s="23" t="str">
        <f>IF($N44=0,"",VLOOKUP($N44,seznam!$A$2:$D$268,4))</f>
        <v>TTC Brandýs nad Labem</v>
      </c>
      <c r="Q44" s="23">
        <f>A40</f>
        <v>57</v>
      </c>
      <c r="R44" s="23" t="str">
        <f>IF($Q44=0,"bye",VLOOKUP($Q44,seznam!$A$2:$C$268,2))</f>
        <v>Plhák Martin</v>
      </c>
      <c r="S44" s="23" t="str">
        <f>IF($Q44=0,"",VLOOKUP($Q44,seznam!$A$2:$D$268,4))</f>
        <v>Zlín </v>
      </c>
      <c r="T44" s="61" t="s">
        <v>228</v>
      </c>
      <c r="U44" s="62" t="s">
        <v>222</v>
      </c>
      <c r="V44" s="62" t="s">
        <v>214</v>
      </c>
      <c r="W44" s="62" t="s">
        <v>222</v>
      </c>
      <c r="X44" s="63" t="s">
        <v>209</v>
      </c>
      <c r="Y44" s="23">
        <f t="shared" si="49"/>
        <v>3</v>
      </c>
      <c r="Z44" s="23">
        <f t="shared" si="50"/>
        <v>2</v>
      </c>
      <c r="AA44" s="23">
        <f t="shared" si="51"/>
        <v>48</v>
      </c>
      <c r="AB44" s="23" t="str">
        <f>IF($AA44=0,"",VLOOKUP($AA44,seznam!$A$2:$C$268,2))</f>
        <v>Černota Filip</v>
      </c>
      <c r="AC44" s="23" t="str">
        <f t="shared" si="52"/>
        <v>3:2 (-3,10,-10,10,7)</v>
      </c>
      <c r="AD44" s="23" t="str">
        <f t="shared" si="53"/>
        <v>3:2 (-3,10,-10,10,7)</v>
      </c>
      <c r="AE44" s="23">
        <f t="shared" si="54"/>
        <v>2</v>
      </c>
      <c r="AF44" s="23">
        <f t="shared" si="55"/>
        <v>1</v>
      </c>
      <c r="AH44" s="23">
        <f t="shared" si="56"/>
        <v>-1</v>
      </c>
      <c r="AI44" s="23">
        <f t="shared" si="56"/>
        <v>1</v>
      </c>
      <c r="AJ44" s="23">
        <f t="shared" si="56"/>
        <v>-1</v>
      </c>
      <c r="AK44" s="23">
        <f t="shared" si="56"/>
        <v>1</v>
      </c>
      <c r="AL44" s="23">
        <f t="shared" si="56"/>
        <v>1</v>
      </c>
      <c r="AP44" s="23" t="str">
        <f>CONCATENATE("&lt;TR&gt;&lt;TD&gt;",J44,"&lt;TD&gt;",K44,"&lt;/TD&gt;&lt;/TR&gt;")</f>
        <v>&lt;TR&gt;&lt;TD&gt;Černota Filip - Plhák Martin&lt;TD&gt;3 : 2 (-3,10,-10,10,7)&lt;/TD&gt;&lt;/TR&gt;</v>
      </c>
    </row>
    <row r="45" spans="13:40" ht="16.5" customHeight="1" thickBot="1" thickTop="1">
      <c r="M45" s="24" t="str">
        <f>B46</f>
        <v>Skupina O</v>
      </c>
      <c r="N45" s="24" t="s">
        <v>0</v>
      </c>
      <c r="O45" s="24" t="s">
        <v>1</v>
      </c>
      <c r="P45" s="24" t="s">
        <v>2</v>
      </c>
      <c r="Q45" s="24" t="s">
        <v>0</v>
      </c>
      <c r="R45" s="24" t="s">
        <v>3</v>
      </c>
      <c r="S45" s="24" t="s">
        <v>2</v>
      </c>
      <c r="T45" s="25" t="s">
        <v>4</v>
      </c>
      <c r="U45" s="25" t="s">
        <v>5</v>
      </c>
      <c r="V45" s="25" t="s">
        <v>6</v>
      </c>
      <c r="W45" s="25" t="s">
        <v>7</v>
      </c>
      <c r="X45" s="25" t="s">
        <v>8</v>
      </c>
      <c r="Y45" s="24" t="s">
        <v>9</v>
      </c>
      <c r="Z45" s="24" t="s">
        <v>10</v>
      </c>
      <c r="AA45" s="24" t="s">
        <v>11</v>
      </c>
      <c r="AN45" s="23" t="s">
        <v>16</v>
      </c>
    </row>
    <row r="46" spans="1:42" ht="16.5" customHeight="1" thickBot="1" thickTop="1">
      <c r="A46" s="44"/>
      <c r="B46" s="45" t="s">
        <v>200</v>
      </c>
      <c r="C46" s="46">
        <v>1</v>
      </c>
      <c r="D46" s="47">
        <v>2</v>
      </c>
      <c r="E46" s="47">
        <v>3</v>
      </c>
      <c r="F46" s="48">
        <v>4</v>
      </c>
      <c r="G46" s="49" t="s">
        <v>14</v>
      </c>
      <c r="H46" s="48" t="s">
        <v>15</v>
      </c>
      <c r="J46" s="23" t="str">
        <f aca="true" t="shared" si="57" ref="J46:J51">CONCATENATE(O46," - ",R46)</f>
        <v>Reho René - Kováč Maxim</v>
      </c>
      <c r="K46" s="23" t="str">
        <f aca="true" t="shared" si="58" ref="K46:K51">IF(SUM(Y46:Z46)=0,AD46,CONCATENATE(Y46," : ",Z46," (",T46,",",U46,",",V46,IF(Y46+Z46&gt;3,",",""),W46,IF(Y46+Z46&gt;4,",",""),X46,")"))</f>
        <v>3 : 0 (3,7,9)</v>
      </c>
      <c r="M46" s="23" t="str">
        <f>CONCATENATE("2.st. ",úvod!$C$8," - ",M45)</f>
        <v>2.st. YOUNGER CADET BOYS - Skupina O</v>
      </c>
      <c r="N46" s="23">
        <f>A47</f>
        <v>40</v>
      </c>
      <c r="O46" s="23" t="str">
        <f>IF($N46=0,"bye",VLOOKUP($N46,seznam!$A$2:$C$268,2))</f>
        <v>Reho René</v>
      </c>
      <c r="P46" s="23" t="str">
        <f>IF($N46=0,"",VLOOKUP($N46,seznam!$A$2:$D$268,4))</f>
        <v>STK Lokomotiva Košice</v>
      </c>
      <c r="Q46" s="23">
        <f>A50</f>
        <v>24</v>
      </c>
      <c r="R46" s="23" t="str">
        <f>IF($Q46=0,"bye",VLOOKUP($Q46,seznam!$A$2:$C$268,2))</f>
        <v>Kováč Maxim</v>
      </c>
      <c r="S46" s="23" t="str">
        <f>IF($Q46=0,"",VLOOKUP($Q46,seznam!$A$2:$D$268,4))</f>
        <v>Karlova Ves</v>
      </c>
      <c r="T46" s="55" t="s">
        <v>212</v>
      </c>
      <c r="U46" s="56" t="s">
        <v>209</v>
      </c>
      <c r="V46" s="56" t="s">
        <v>213</v>
      </c>
      <c r="W46" s="56"/>
      <c r="X46" s="57"/>
      <c r="Y46" s="23">
        <f aca="true" t="shared" si="59" ref="Y46:Y51">COUNTIF(AH46:AL46,"&gt;0")</f>
        <v>3</v>
      </c>
      <c r="Z46" s="23">
        <f aca="true" t="shared" si="60" ref="Z46:Z51">COUNTIF(AH46:AL46,"&lt;0")</f>
        <v>0</v>
      </c>
      <c r="AA46" s="23">
        <f aca="true" t="shared" si="61" ref="AA46:AA51">IF(Y46=Z46,0,IF(Y46&gt;Z46,N46,Q46))</f>
        <v>40</v>
      </c>
      <c r="AB46" s="23" t="str">
        <f>IF($AA46=0,"",VLOOKUP($AA46,seznam!$A$2:$C$268,2))</f>
        <v>Reho René</v>
      </c>
      <c r="AC46" s="23" t="str">
        <f aca="true" t="shared" si="62" ref="AC46:AC51">IF(Y46=Z46,"",IF(Y46&gt;Z46,CONCATENATE(Y46,":",Z46," (",T46,",",U46,",",V46,IF(SUM(Y46:Z46)&gt;3,",",""),W46,IF(SUM(Y46:Z46)&gt;4,",",""),X46,")"),CONCATENATE(Z46,":",Y46," (",-T46,",",-U46,",",-V46,IF(SUM(Y46:Z46)&gt;3,CONCATENATE(",",-W46),""),IF(SUM(Y46:Z46)&gt;4,CONCATENATE(",",-X46),""),")")))</f>
        <v>3:0 (3,7,9)</v>
      </c>
      <c r="AD46" s="23" t="str">
        <f aca="true" t="shared" si="63" ref="AD46:AD51">IF(SUM(Y46:Z46)=0,"",AC46)</f>
        <v>3:0 (3,7,9)</v>
      </c>
      <c r="AE46" s="23">
        <f aca="true" t="shared" si="64" ref="AE46:AE51">IF(T46="",0,IF(Y46&gt;Z46,2,1))</f>
        <v>2</v>
      </c>
      <c r="AF46" s="23">
        <f aca="true" t="shared" si="65" ref="AF46:AF51">IF(T46="",0,IF(Z46&gt;Y46,2,1))</f>
        <v>1</v>
      </c>
      <c r="AH46" s="23">
        <f aca="true" t="shared" si="66" ref="AH46:AL51">IF(T46="",0,IF(MID(T46,1,1)="-",-1,1))</f>
        <v>1</v>
      </c>
      <c r="AI46" s="23">
        <f t="shared" si="66"/>
        <v>1</v>
      </c>
      <c r="AJ46" s="23">
        <f t="shared" si="66"/>
        <v>1</v>
      </c>
      <c r="AK46" s="23">
        <f t="shared" si="66"/>
        <v>0</v>
      </c>
      <c r="AL46" s="23">
        <f t="shared" si="66"/>
        <v>0</v>
      </c>
      <c r="AN46" s="23" t="str">
        <f>CONCATENATE("&lt;Table border=1 cellpading=0 cellspacing=0 width=480&gt;&lt;TR&gt;&lt;TH colspan=2&gt;",B46,"&lt;TH&gt;1&lt;TH&gt;2&lt;TH&gt;3&lt;TH&gt;4&lt;TH&gt;Body&lt;TH&gt;Pořadí&lt;/TH&gt;&lt;/TR&gt;")</f>
        <v>&lt;Table border=1 cellpading=0 cellspacing=0 width=480&gt;&lt;TR&gt;&lt;TH colspan=2&gt;Skupina O&lt;TH&gt;1&lt;TH&gt;2&lt;TH&gt;3&lt;TH&gt;4&lt;TH&gt;Body&lt;TH&gt;Pořadí&lt;/TH&gt;&lt;/TR&gt;</v>
      </c>
      <c r="AP46" s="23" t="str">
        <f>CONCATENATE("&lt;TR&gt;&lt;TD width=250&gt;",J46,"&lt;TD&gt;",K46,"&lt;/TD&gt;&lt;/TR&gt;")</f>
        <v>&lt;TR&gt;&lt;TD width=250&gt;Reho René - Kováč Maxim&lt;TD&gt;3 : 0 (3,7,9)&lt;/TD&gt;&lt;/TR&gt;</v>
      </c>
    </row>
    <row r="47" spans="1:42" ht="16.5" customHeight="1" thickTop="1">
      <c r="A47" s="38">
        <v>40</v>
      </c>
      <c r="B47" s="39" t="str">
        <f>IF($A47="","",CONCATENATE(VLOOKUP($A47,seznam!$A$2:$B$268,2)," (",VLOOKUP($A47,seznam!$A$2:$E$269,4),")"))</f>
        <v>Reho René (STK Lokomotiva Košice)</v>
      </c>
      <c r="C47" s="40" t="s">
        <v>30</v>
      </c>
      <c r="D47" s="41" t="str">
        <f>IF(Y49+Z49=0,"",CONCATENATE(Y49,":",Z49))</f>
        <v>3:0</v>
      </c>
      <c r="E47" s="41" t="str">
        <f>IF(Y51+Z51=0,"",CONCATENATE(Z51,":",Y51))</f>
        <v>3:0</v>
      </c>
      <c r="F47" s="42" t="str">
        <f>IF(Y46+Z46=0,"",CONCATENATE(Y46,":",Z46))</f>
        <v>3:0</v>
      </c>
      <c r="G47" s="43">
        <f>IF(AE46+AE49+AF51=0,"",AE46+AE49+AF51)</f>
        <v>6</v>
      </c>
      <c r="H47" s="42">
        <v>1</v>
      </c>
      <c r="J47" s="23" t="str">
        <f t="shared" si="57"/>
        <v>Baka Martin - Strejček Karel</v>
      </c>
      <c r="K47" s="23" t="str">
        <f t="shared" si="58"/>
        <v>3 : 0 (5,4,8)</v>
      </c>
      <c r="M47" s="23" t="str">
        <f>CONCATENATE("2.st. ",úvod!$C$8," - ",M45)</f>
        <v>2.st. YOUNGER CADET BOYS - Skupina O</v>
      </c>
      <c r="N47" s="23">
        <f>A48</f>
        <v>62</v>
      </c>
      <c r="O47" s="23" t="str">
        <f>IF($N47=0,"bye",VLOOKUP($N47,seznam!$A$2:$C$268,2))</f>
        <v>Baka Martin</v>
      </c>
      <c r="P47" s="23" t="str">
        <f>IF($N47=0,"",VLOOKUP($N47,seznam!$A$2:$D$268,4))</f>
        <v>STK Pezinok</v>
      </c>
      <c r="Q47" s="23">
        <f>A49</f>
        <v>55</v>
      </c>
      <c r="R47" s="23" t="str">
        <f>IF($Q47=0,"bye",VLOOKUP($Q47,seznam!$A$2:$C$268,2))</f>
        <v>Strejček Karel</v>
      </c>
      <c r="S47" s="23" t="str">
        <f>IF($Q47=0,"",VLOOKUP($Q47,seznam!$A$2:$D$268,4))</f>
        <v>Zlín</v>
      </c>
      <c r="T47" s="58" t="s">
        <v>211</v>
      </c>
      <c r="U47" s="59" t="s">
        <v>220</v>
      </c>
      <c r="V47" s="59" t="s">
        <v>208</v>
      </c>
      <c r="W47" s="59"/>
      <c r="X47" s="60"/>
      <c r="Y47" s="23">
        <f t="shared" si="59"/>
        <v>3</v>
      </c>
      <c r="Z47" s="23">
        <f t="shared" si="60"/>
        <v>0</v>
      </c>
      <c r="AA47" s="23">
        <f t="shared" si="61"/>
        <v>62</v>
      </c>
      <c r="AB47" s="23" t="str">
        <f>IF($AA47=0,"",VLOOKUP($AA47,seznam!$A$2:$C$268,2))</f>
        <v>Baka Martin</v>
      </c>
      <c r="AC47" s="23" t="str">
        <f t="shared" si="62"/>
        <v>3:0 (5,4,8)</v>
      </c>
      <c r="AD47" s="23" t="str">
        <f t="shared" si="63"/>
        <v>3:0 (5,4,8)</v>
      </c>
      <c r="AE47" s="23">
        <f t="shared" si="64"/>
        <v>2</v>
      </c>
      <c r="AF47" s="23">
        <f t="shared" si="65"/>
        <v>1</v>
      </c>
      <c r="AH47" s="23">
        <f t="shared" si="66"/>
        <v>1</v>
      </c>
      <c r="AI47" s="23">
        <f t="shared" si="66"/>
        <v>1</v>
      </c>
      <c r="AJ47" s="23">
        <f t="shared" si="66"/>
        <v>1</v>
      </c>
      <c r="AK47" s="23">
        <f t="shared" si="66"/>
        <v>0</v>
      </c>
      <c r="AL47" s="23">
        <f t="shared" si="66"/>
        <v>0</v>
      </c>
      <c r="AN47" s="23" t="str">
        <f>CONCATENATE(AO47,AO48,AO49,AO50,)</f>
        <v>&lt;TR&gt;&lt;TD&gt;40&lt;TD width=200&gt;Reho René (STK Lokomotiva Košice)&lt;TD&gt;XXX&lt;TD&gt;3:0&lt;TD&gt;3:0&lt;TD&gt;3:0&lt;TD&gt;6&lt;TD&gt;1&lt;/TD&gt;&lt;/TR&gt;&lt;TR&gt;&lt;TD&gt;62&lt;TD width=200&gt;Baka Martin (STK Pezinok)&lt;TD&gt;0:3&lt;TD&gt;XXX&lt;TD&gt;3:0&lt;TD&gt;0:3&lt;TD&gt;4&lt;TD&gt;3&lt;/TD&gt;&lt;/TR&gt;&lt;TR&gt;&lt;TD&gt;55&lt;TD width=200&gt;Strejček Karel (Zlín)&lt;TD&gt;0:3&lt;TD&gt;0:3&lt;TD&gt;XXX&lt;TD&gt;0:3&lt;TD&gt;3&lt;TD&gt;4&lt;/TD&gt;&lt;/TR&gt;&lt;TR&gt;&lt;TD&gt;24&lt;TD width=200&gt;Kováč Maxim (Karlova Ves)&lt;TD&gt;0:3&lt;TD&gt;3:0&lt;TD&gt;3:0&lt;TD&gt;XXX&lt;TD&gt;5&lt;TD&gt;2&lt;/TD&gt;&lt;/TR&gt;</v>
      </c>
      <c r="AO47" s="23" t="str">
        <f>CONCATENATE("&lt;TR&gt;&lt;TD&gt;",A47,"&lt;TD width=200&gt;",B47,"&lt;TD&gt;",C47,"&lt;TD&gt;",D47,"&lt;TD&gt;",E47,"&lt;TD&gt;",F47,"&lt;TD&gt;",G47,"&lt;TD&gt;",H47,"&lt;/TD&gt;&lt;/TR&gt;")</f>
        <v>&lt;TR&gt;&lt;TD&gt;40&lt;TD width=200&gt;Reho René (STK Lokomotiva Košice)&lt;TD&gt;XXX&lt;TD&gt;3:0&lt;TD&gt;3:0&lt;TD&gt;3:0&lt;TD&gt;6&lt;TD&gt;1&lt;/TD&gt;&lt;/TR&gt;</v>
      </c>
      <c r="AP47" s="23" t="str">
        <f>CONCATENATE("&lt;TR&gt;&lt;TD&gt;",J47,"&lt;TD&gt;",K47,"&lt;/TD&gt;&lt;/TR&gt;")</f>
        <v>&lt;TR&gt;&lt;TD&gt;Baka Martin - Strejček Karel&lt;TD&gt;3 : 0 (5,4,8)&lt;/TD&gt;&lt;/TR&gt;</v>
      </c>
    </row>
    <row r="48" spans="1:42" ht="16.5" customHeight="1">
      <c r="A48" s="26">
        <v>62</v>
      </c>
      <c r="B48" s="32" t="str">
        <f>IF($A48="","",CONCATENATE(VLOOKUP($A48,seznam!$A$2:$B$268,2)," (",VLOOKUP($A48,seznam!$A$2:$E$269,4),")"))</f>
        <v>Baka Martin (STK Pezinok)</v>
      </c>
      <c r="C48" s="36" t="str">
        <f>IF(Y49+Z49=0,"",CONCATENATE(Z49,":",Y49))</f>
        <v>0:3</v>
      </c>
      <c r="D48" s="27" t="s">
        <v>30</v>
      </c>
      <c r="E48" s="27" t="str">
        <f>IF(Y47+Z47=0,"",CONCATENATE(Y47,":",Z47))</f>
        <v>3:0</v>
      </c>
      <c r="F48" s="28" t="str">
        <f>IF(Y50+Z50=0,"",CONCATENATE(Y50,":",Z50))</f>
        <v>0:3</v>
      </c>
      <c r="G48" s="34">
        <f>IF(AE47+AF49+AE50=0,"",AE47+AF49+AE50)</f>
        <v>4</v>
      </c>
      <c r="H48" s="28">
        <v>3</v>
      </c>
      <c r="J48" s="23" t="str">
        <f t="shared" si="57"/>
        <v>Kováč Maxim - Strejček Karel</v>
      </c>
      <c r="K48" s="23" t="str">
        <f t="shared" si="58"/>
        <v>3 : 0 (5,2,5)</v>
      </c>
      <c r="M48" s="23" t="str">
        <f>CONCATENATE("2.st. ",úvod!$C$8," - ",M45)</f>
        <v>2.st. YOUNGER CADET BOYS - Skupina O</v>
      </c>
      <c r="N48" s="23">
        <f>A50</f>
        <v>24</v>
      </c>
      <c r="O48" s="23" t="str">
        <f>IF($N48=0,"bye",VLOOKUP($N48,seznam!$A$2:$C$268,2))</f>
        <v>Kováč Maxim</v>
      </c>
      <c r="P48" s="23" t="str">
        <f>IF($N48=0,"",VLOOKUP($N48,seznam!$A$2:$D$268,4))</f>
        <v>Karlova Ves</v>
      </c>
      <c r="Q48" s="23">
        <f>A49</f>
        <v>55</v>
      </c>
      <c r="R48" s="23" t="str">
        <f>IF($Q48=0,"bye",VLOOKUP($Q48,seznam!$A$2:$C$268,2))</f>
        <v>Strejček Karel</v>
      </c>
      <c r="S48" s="23" t="str">
        <f>IF($Q48=0,"",VLOOKUP($Q48,seznam!$A$2:$D$268,4))</f>
        <v>Zlín</v>
      </c>
      <c r="T48" s="58" t="s">
        <v>211</v>
      </c>
      <c r="U48" s="59" t="s">
        <v>206</v>
      </c>
      <c r="V48" s="59" t="s">
        <v>211</v>
      </c>
      <c r="W48" s="59"/>
      <c r="X48" s="60"/>
      <c r="Y48" s="23">
        <f t="shared" si="59"/>
        <v>3</v>
      </c>
      <c r="Z48" s="23">
        <f t="shared" si="60"/>
        <v>0</v>
      </c>
      <c r="AA48" s="23">
        <f t="shared" si="61"/>
        <v>24</v>
      </c>
      <c r="AB48" s="23" t="str">
        <f>IF($AA48=0,"",VLOOKUP($AA48,seznam!$A$2:$C$268,2))</f>
        <v>Kováč Maxim</v>
      </c>
      <c r="AC48" s="23" t="str">
        <f t="shared" si="62"/>
        <v>3:0 (5,2,5)</v>
      </c>
      <c r="AD48" s="23" t="str">
        <f t="shared" si="63"/>
        <v>3:0 (5,2,5)</v>
      </c>
      <c r="AE48" s="23">
        <f t="shared" si="64"/>
        <v>2</v>
      </c>
      <c r="AF48" s="23">
        <f t="shared" si="65"/>
        <v>1</v>
      </c>
      <c r="AH48" s="23">
        <f t="shared" si="66"/>
        <v>1</v>
      </c>
      <c r="AI48" s="23">
        <f t="shared" si="66"/>
        <v>1</v>
      </c>
      <c r="AJ48" s="23">
        <f t="shared" si="66"/>
        <v>1</v>
      </c>
      <c r="AK48" s="23">
        <f t="shared" si="66"/>
        <v>0</v>
      </c>
      <c r="AL48" s="23">
        <f t="shared" si="66"/>
        <v>0</v>
      </c>
      <c r="AN48" s="23" t="str">
        <f>CONCATENATE("&lt;/Table&gt;&lt;TD width=420&gt;&lt;Table&gt;")</f>
        <v>&lt;/Table&gt;&lt;TD width=420&gt;&lt;Table&gt;</v>
      </c>
      <c r="AO48" s="23" t="str">
        <f>CONCATENATE("&lt;TR&gt;&lt;TD&gt;",A48,"&lt;TD width=200&gt;",B48,"&lt;TD&gt;",C48,"&lt;TD&gt;",D48,"&lt;TD&gt;",E48,"&lt;TD&gt;",F48,"&lt;TD&gt;",G48,"&lt;TD&gt;",H48,"&lt;/TD&gt;&lt;/TR&gt;")</f>
        <v>&lt;TR&gt;&lt;TD&gt;62&lt;TD width=200&gt;Baka Martin (STK Pezinok)&lt;TD&gt;0:3&lt;TD&gt;XXX&lt;TD&gt;3:0&lt;TD&gt;0:3&lt;TD&gt;4&lt;TD&gt;3&lt;/TD&gt;&lt;/TR&gt;</v>
      </c>
      <c r="AP48" s="23" t="str">
        <f>CONCATENATE("&lt;TR&gt;&lt;TD&gt;",J48,"&lt;TD&gt;",K48,"&lt;/TD&gt;&lt;/TR&gt;")</f>
        <v>&lt;TR&gt;&lt;TD&gt;Kováč Maxim - Strejček Karel&lt;TD&gt;3 : 0 (5,2,5)&lt;/TD&gt;&lt;/TR&gt;</v>
      </c>
    </row>
    <row r="49" spans="1:42" ht="16.5" customHeight="1">
      <c r="A49" s="26">
        <v>55</v>
      </c>
      <c r="B49" s="32" t="str">
        <f>IF($A49="","",CONCATENATE(VLOOKUP($A49,seznam!$A$2:$B$268,2)," (",VLOOKUP($A49,seznam!$A$2:$E$269,4),")"))</f>
        <v>Strejček Karel (Zlín)</v>
      </c>
      <c r="C49" s="36" t="str">
        <f>IF(Y51+Z51=0,"",CONCATENATE(Y51,":",Z51))</f>
        <v>0:3</v>
      </c>
      <c r="D49" s="27" t="str">
        <f>IF(Y47+Z47=0,"",CONCATENATE(Z47,":",Y47))</f>
        <v>0:3</v>
      </c>
      <c r="E49" s="27" t="s">
        <v>30</v>
      </c>
      <c r="F49" s="28" t="str">
        <f>IF(Y48+Z48=0,"",CONCATENATE(Z48,":",Y48))</f>
        <v>0:3</v>
      </c>
      <c r="G49" s="34">
        <f>IF(AF47+AF48+AE51=0,"",AF47+AF48+AE51)</f>
        <v>3</v>
      </c>
      <c r="H49" s="28">
        <v>4</v>
      </c>
      <c r="J49" s="23" t="str">
        <f t="shared" si="57"/>
        <v>Reho René - Baka Martin</v>
      </c>
      <c r="K49" s="23" t="str">
        <f t="shared" si="58"/>
        <v>3 : 0 (1,5,6)</v>
      </c>
      <c r="M49" s="23" t="str">
        <f>CONCATENATE("2.st. ",úvod!$C$8," - ",M45)</f>
        <v>2.st. YOUNGER CADET BOYS - Skupina O</v>
      </c>
      <c r="N49" s="23">
        <f>A47</f>
        <v>40</v>
      </c>
      <c r="O49" s="23" t="str">
        <f>IF($N49=0,"bye",VLOOKUP($N49,seznam!$A$2:$C$268,2))</f>
        <v>Reho René</v>
      </c>
      <c r="P49" s="23" t="str">
        <f>IF($N49=0,"",VLOOKUP($N49,seznam!$A$2:$D$268,4))</f>
        <v>STK Lokomotiva Košice</v>
      </c>
      <c r="Q49" s="23">
        <f>A48</f>
        <v>62</v>
      </c>
      <c r="R49" s="23" t="str">
        <f>IF($Q49=0,"bye",VLOOKUP($Q49,seznam!$A$2:$C$268,2))</f>
        <v>Baka Martin</v>
      </c>
      <c r="S49" s="23" t="str">
        <f>IF($Q49=0,"",VLOOKUP($Q49,seznam!$A$2:$D$268,4))</f>
        <v>STK Pezinok</v>
      </c>
      <c r="T49" s="58" t="s">
        <v>205</v>
      </c>
      <c r="U49" s="59" t="s">
        <v>211</v>
      </c>
      <c r="V49" s="59" t="s">
        <v>210</v>
      </c>
      <c r="W49" s="59"/>
      <c r="X49" s="60"/>
      <c r="Y49" s="23">
        <f t="shared" si="59"/>
        <v>3</v>
      </c>
      <c r="Z49" s="23">
        <f t="shared" si="60"/>
        <v>0</v>
      </c>
      <c r="AA49" s="23">
        <f t="shared" si="61"/>
        <v>40</v>
      </c>
      <c r="AB49" s="23" t="str">
        <f>IF($AA49=0,"",VLOOKUP($AA49,seznam!$A$2:$C$268,2))</f>
        <v>Reho René</v>
      </c>
      <c r="AC49" s="23" t="str">
        <f t="shared" si="62"/>
        <v>3:0 (1,5,6)</v>
      </c>
      <c r="AD49" s="23" t="str">
        <f t="shared" si="63"/>
        <v>3:0 (1,5,6)</v>
      </c>
      <c r="AE49" s="23">
        <f t="shared" si="64"/>
        <v>2</v>
      </c>
      <c r="AF49" s="23">
        <f t="shared" si="65"/>
        <v>1</v>
      </c>
      <c r="AH49" s="23">
        <f t="shared" si="66"/>
        <v>1</v>
      </c>
      <c r="AI49" s="23">
        <f t="shared" si="66"/>
        <v>1</v>
      </c>
      <c r="AJ49" s="23">
        <f t="shared" si="66"/>
        <v>1</v>
      </c>
      <c r="AK49" s="23">
        <f t="shared" si="66"/>
        <v>0</v>
      </c>
      <c r="AL49" s="23">
        <f t="shared" si="66"/>
        <v>0</v>
      </c>
      <c r="AN49" s="23" t="str">
        <f>CONCATENATE(AP46,AP47,AP48,AP49,AP50,AP51,)</f>
        <v>&lt;TR&gt;&lt;TD width=250&gt;Reho René - Kováč Maxim&lt;TD&gt;3 : 0 (3,7,9)&lt;/TD&gt;&lt;/TR&gt;&lt;TR&gt;&lt;TD&gt;Baka Martin - Strejček Karel&lt;TD&gt;3 : 0 (5,4,8)&lt;/TD&gt;&lt;/TR&gt;&lt;TR&gt;&lt;TD&gt;Kováč Maxim - Strejček Karel&lt;TD&gt;3 : 0 (5,2,5)&lt;/TD&gt;&lt;/TR&gt;&lt;TR&gt;&lt;TD&gt;Reho René - Baka Martin&lt;TD&gt;3 : 0 (1,5,6)&lt;/TD&gt;&lt;/TR&gt;&lt;TR&gt;&lt;TD&gt;Baka Martin - Kováč Maxim&lt;TD&gt;0 : 3 (-6,-9,-11)&lt;/TD&gt;&lt;/TR&gt;&lt;TR&gt;&lt;TD&gt;Strejček Karel - Reho René&lt;TD&gt;0 : 3 (-2,-3,-1)&lt;/TD&gt;&lt;/TR&gt;</v>
      </c>
      <c r="AO49" s="23" t="str">
        <f>CONCATENATE("&lt;TR&gt;&lt;TD&gt;",A49,"&lt;TD width=200&gt;",B49,"&lt;TD&gt;",C49,"&lt;TD&gt;",D49,"&lt;TD&gt;",E49,"&lt;TD&gt;",F49,"&lt;TD&gt;",G49,"&lt;TD&gt;",H49,"&lt;/TD&gt;&lt;/TR&gt;")</f>
        <v>&lt;TR&gt;&lt;TD&gt;55&lt;TD width=200&gt;Strejček Karel (Zlín)&lt;TD&gt;0:3&lt;TD&gt;0:3&lt;TD&gt;XXX&lt;TD&gt;0:3&lt;TD&gt;3&lt;TD&gt;4&lt;/TD&gt;&lt;/TR&gt;</v>
      </c>
      <c r="AP49" s="23" t="str">
        <f>CONCATENATE("&lt;TR&gt;&lt;TD&gt;",J49,"&lt;TD&gt;",K49,"&lt;/TD&gt;&lt;/TR&gt;")</f>
        <v>&lt;TR&gt;&lt;TD&gt;Reho René - Baka Martin&lt;TD&gt;3 : 0 (1,5,6)&lt;/TD&gt;&lt;/TR&gt;</v>
      </c>
    </row>
    <row r="50" spans="1:42" ht="16.5" customHeight="1" thickBot="1">
      <c r="A50" s="29">
        <v>24</v>
      </c>
      <c r="B50" s="33" t="str">
        <f>IF($A50="","",CONCATENATE(VLOOKUP($A50,seznam!$A$2:$B$268,2)," (",VLOOKUP($A50,seznam!$A$2:$E$269,4),")"))</f>
        <v>Kováč Maxim (Karlova Ves)</v>
      </c>
      <c r="C50" s="37" t="str">
        <f>IF(Y46+Z46=0,"",CONCATENATE(Z46,":",Y46))</f>
        <v>0:3</v>
      </c>
      <c r="D50" s="30" t="str">
        <f>IF(Y50+Z50=0,"",CONCATENATE(Z50,":",Y50))</f>
        <v>3:0</v>
      </c>
      <c r="E50" s="30" t="str">
        <f>IF(Y48+Z48=0,"",CONCATENATE(Y48,":",Z48))</f>
        <v>3:0</v>
      </c>
      <c r="F50" s="31" t="s">
        <v>30</v>
      </c>
      <c r="G50" s="35">
        <f>IF(AF46+AE48+AF50=0,"",AF46+AE48+AF50)</f>
        <v>5</v>
      </c>
      <c r="H50" s="31">
        <v>2</v>
      </c>
      <c r="J50" s="23" t="str">
        <f t="shared" si="57"/>
        <v>Baka Martin - Kováč Maxim</v>
      </c>
      <c r="K50" s="23" t="str">
        <f t="shared" si="58"/>
        <v>0 : 3 (-6,-9,-11)</v>
      </c>
      <c r="M50" s="23" t="str">
        <f>CONCATENATE("2.st. ",úvod!$C$8," - ",M45)</f>
        <v>2.st. YOUNGER CADET BOYS - Skupina O</v>
      </c>
      <c r="N50" s="23">
        <f>A48</f>
        <v>62</v>
      </c>
      <c r="O50" s="23" t="str">
        <f>IF($N50=0,"bye",VLOOKUP($N50,seznam!$A$2:$C$268,2))</f>
        <v>Baka Martin</v>
      </c>
      <c r="P50" s="23" t="str">
        <f>IF($N50=0,"",VLOOKUP($N50,seznam!$A$2:$D$268,4))</f>
        <v>STK Pezinok</v>
      </c>
      <c r="Q50" s="23">
        <f>A50</f>
        <v>24</v>
      </c>
      <c r="R50" s="23" t="str">
        <f>IF($Q50=0,"bye",VLOOKUP($Q50,seznam!$A$2:$C$268,2))</f>
        <v>Kováč Maxim</v>
      </c>
      <c r="S50" s="23" t="str">
        <f>IF($Q50=0,"",VLOOKUP($Q50,seznam!$A$2:$D$268,4))</f>
        <v>Karlova Ves</v>
      </c>
      <c r="T50" s="58" t="s">
        <v>221</v>
      </c>
      <c r="U50" s="59" t="s">
        <v>207</v>
      </c>
      <c r="V50" s="59" t="s">
        <v>223</v>
      </c>
      <c r="W50" s="59"/>
      <c r="X50" s="60"/>
      <c r="Y50" s="23">
        <f t="shared" si="59"/>
        <v>0</v>
      </c>
      <c r="Z50" s="23">
        <f t="shared" si="60"/>
        <v>3</v>
      </c>
      <c r="AA50" s="23">
        <f t="shared" si="61"/>
        <v>24</v>
      </c>
      <c r="AB50" s="23" t="str">
        <f>IF($AA50=0,"",VLOOKUP($AA50,seznam!$A$2:$C$268,2))</f>
        <v>Kováč Maxim</v>
      </c>
      <c r="AC50" s="23" t="str">
        <f t="shared" si="62"/>
        <v>3:0 (6,9,11)</v>
      </c>
      <c r="AD50" s="23" t="str">
        <f t="shared" si="63"/>
        <v>3:0 (6,9,11)</v>
      </c>
      <c r="AE50" s="23">
        <f t="shared" si="64"/>
        <v>1</v>
      </c>
      <c r="AF50" s="23">
        <f t="shared" si="65"/>
        <v>2</v>
      </c>
      <c r="AH50" s="23">
        <f t="shared" si="66"/>
        <v>-1</v>
      </c>
      <c r="AI50" s="23">
        <f t="shared" si="66"/>
        <v>-1</v>
      </c>
      <c r="AJ50" s="23">
        <f t="shared" si="66"/>
        <v>-1</v>
      </c>
      <c r="AK50" s="23">
        <f t="shared" si="66"/>
        <v>0</v>
      </c>
      <c r="AL50" s="23">
        <f t="shared" si="66"/>
        <v>0</v>
      </c>
      <c r="AN50" s="23" t="str">
        <f>CONCATENATE("&lt;/Table&gt;&lt;/TD&gt;&lt;/TR&gt;&lt;/Table&gt;&lt;P&gt;")</f>
        <v>&lt;/Table&gt;&lt;/TD&gt;&lt;/TR&gt;&lt;/Table&gt;&lt;P&gt;</v>
      </c>
      <c r="AO50" s="23" t="str">
        <f>CONCATENATE("&lt;TR&gt;&lt;TD&gt;",A50,"&lt;TD width=200&gt;",B50,"&lt;TD&gt;",C50,"&lt;TD&gt;",D50,"&lt;TD&gt;",E50,"&lt;TD&gt;",F50,"&lt;TD&gt;",G50,"&lt;TD&gt;",H50,"&lt;/TD&gt;&lt;/TR&gt;")</f>
        <v>&lt;TR&gt;&lt;TD&gt;24&lt;TD width=200&gt;Kováč Maxim (Karlova Ves)&lt;TD&gt;0:3&lt;TD&gt;3:0&lt;TD&gt;3:0&lt;TD&gt;XXX&lt;TD&gt;5&lt;TD&gt;2&lt;/TD&gt;&lt;/TR&gt;</v>
      </c>
      <c r="AP50" s="23" t="str">
        <f>CONCATENATE("&lt;TR&gt;&lt;TD&gt;",J50,"&lt;TD&gt;",K50,"&lt;/TD&gt;&lt;/TR&gt;")</f>
        <v>&lt;TR&gt;&lt;TD&gt;Baka Martin - Kováč Maxim&lt;TD&gt;0 : 3 (-6,-9,-11)&lt;/TD&gt;&lt;/TR&gt;</v>
      </c>
    </row>
    <row r="51" spans="10:42" ht="16.5" customHeight="1" thickBot="1" thickTop="1">
      <c r="J51" s="23" t="str">
        <f t="shared" si="57"/>
        <v>Strejček Karel - Reho René</v>
      </c>
      <c r="K51" s="23" t="str">
        <f t="shared" si="58"/>
        <v>0 : 3 (-2,-3,-1)</v>
      </c>
      <c r="M51" s="23" t="str">
        <f>CONCATENATE("2.st. ",úvod!$C$8," - ",M45)</f>
        <v>2.st. YOUNGER CADET BOYS - Skupina O</v>
      </c>
      <c r="N51" s="23">
        <f>A49</f>
        <v>55</v>
      </c>
      <c r="O51" s="23" t="str">
        <f>IF($N51=0,"bye",VLOOKUP($N51,seznam!$A$2:$C$268,2))</f>
        <v>Strejček Karel</v>
      </c>
      <c r="P51" s="23" t="str">
        <f>IF($N51=0,"",VLOOKUP($N51,seznam!$A$2:$D$268,4))</f>
        <v>Zlín</v>
      </c>
      <c r="Q51" s="23">
        <f>A47</f>
        <v>40</v>
      </c>
      <c r="R51" s="23" t="str">
        <f>IF($Q51=0,"bye",VLOOKUP($Q51,seznam!$A$2:$C$268,2))</f>
        <v>Reho René</v>
      </c>
      <c r="S51" s="23" t="str">
        <f>IF($Q51=0,"",VLOOKUP($Q51,seznam!$A$2:$D$268,4))</f>
        <v>STK Lokomotiva Košice</v>
      </c>
      <c r="T51" s="61" t="s">
        <v>229</v>
      </c>
      <c r="U51" s="62" t="s">
        <v>228</v>
      </c>
      <c r="V51" s="62" t="s">
        <v>230</v>
      </c>
      <c r="W51" s="62"/>
      <c r="X51" s="63"/>
      <c r="Y51" s="23">
        <f t="shared" si="59"/>
        <v>0</v>
      </c>
      <c r="Z51" s="23">
        <f t="shared" si="60"/>
        <v>3</v>
      </c>
      <c r="AA51" s="23">
        <f t="shared" si="61"/>
        <v>40</v>
      </c>
      <c r="AB51" s="23" t="str">
        <f>IF($AA51=0,"",VLOOKUP($AA51,seznam!$A$2:$C$268,2))</f>
        <v>Reho René</v>
      </c>
      <c r="AC51" s="23" t="str">
        <f t="shared" si="62"/>
        <v>3:0 (2,3,1)</v>
      </c>
      <c r="AD51" s="23" t="str">
        <f t="shared" si="63"/>
        <v>3:0 (2,3,1)</v>
      </c>
      <c r="AE51" s="23">
        <f t="shared" si="64"/>
        <v>1</v>
      </c>
      <c r="AF51" s="23">
        <f t="shared" si="65"/>
        <v>2</v>
      </c>
      <c r="AH51" s="23">
        <f t="shared" si="66"/>
        <v>-1</v>
      </c>
      <c r="AI51" s="23">
        <f t="shared" si="66"/>
        <v>-1</v>
      </c>
      <c r="AJ51" s="23">
        <f t="shared" si="66"/>
        <v>-1</v>
      </c>
      <c r="AK51" s="23">
        <f t="shared" si="66"/>
        <v>0</v>
      </c>
      <c r="AL51" s="23">
        <f t="shared" si="66"/>
        <v>0</v>
      </c>
      <c r="AP51" s="23" t="str">
        <f>CONCATENATE("&lt;TR&gt;&lt;TD&gt;",J51,"&lt;TD&gt;",K51,"&lt;/TD&gt;&lt;/TR&gt;")</f>
        <v>&lt;TR&gt;&lt;TD&gt;Strejček Karel - Reho René&lt;TD&gt;0 : 3 (-2,-3,-1)&lt;/TD&gt;&lt;/TR&gt;</v>
      </c>
    </row>
    <row r="52" spans="13:40" ht="16.5" customHeight="1" thickBot="1" thickTop="1">
      <c r="M52" s="24" t="str">
        <f>B53</f>
        <v>Skupina H</v>
      </c>
      <c r="N52" s="24" t="s">
        <v>0</v>
      </c>
      <c r="O52" s="24" t="s">
        <v>1</v>
      </c>
      <c r="P52" s="24" t="s">
        <v>2</v>
      </c>
      <c r="Q52" s="24" t="s">
        <v>0</v>
      </c>
      <c r="R52" s="24" t="s">
        <v>3</v>
      </c>
      <c r="S52" s="24" t="s">
        <v>2</v>
      </c>
      <c r="T52" s="25" t="s">
        <v>4</v>
      </c>
      <c r="U52" s="25" t="s">
        <v>5</v>
      </c>
      <c r="V52" s="25" t="s">
        <v>6</v>
      </c>
      <c r="W52" s="25" t="s">
        <v>7</v>
      </c>
      <c r="X52" s="25" t="s">
        <v>8</v>
      </c>
      <c r="Y52" s="24" t="s">
        <v>9</v>
      </c>
      <c r="Z52" s="24" t="s">
        <v>10</v>
      </c>
      <c r="AA52" s="24" t="s">
        <v>11</v>
      </c>
      <c r="AN52" s="23" t="s">
        <v>16</v>
      </c>
    </row>
    <row r="53" spans="1:42" ht="16.5" customHeight="1" thickBot="1" thickTop="1">
      <c r="A53" s="44"/>
      <c r="B53" s="45" t="s">
        <v>25</v>
      </c>
      <c r="C53" s="46">
        <v>1</v>
      </c>
      <c r="D53" s="47">
        <v>2</v>
      </c>
      <c r="E53" s="47">
        <v>3</v>
      </c>
      <c r="F53" s="48">
        <v>4</v>
      </c>
      <c r="G53" s="49" t="s">
        <v>14</v>
      </c>
      <c r="H53" s="48" t="s">
        <v>15</v>
      </c>
      <c r="J53" s="23" t="str">
        <f aca="true" t="shared" si="67" ref="J53:J58">CONCATENATE(O53," - ",R53)</f>
        <v>bye - bye</v>
      </c>
      <c r="K53" s="23">
        <f aca="true" t="shared" si="68" ref="K53:K58">IF(SUM(Y53:Z53)=0,AD53,CONCATENATE(Y53," : ",Z53," (",T53,",",U53,",",V53,IF(Y53+Z53&gt;3,",",""),W53,IF(Y53+Z53&gt;4,",",""),X53,")"))</f>
      </c>
      <c r="M53" s="23" t="str">
        <f>CONCATENATE("2.st. ",úvod!$C$8," - ",M52)</f>
        <v>2.st. YOUNGER CADET BOYS - Skupina H</v>
      </c>
      <c r="N53" s="23">
        <f>A54</f>
        <v>0</v>
      </c>
      <c r="O53" s="23" t="str">
        <f>IF($N53=0,"bye",VLOOKUP($N53,seznam!$A$2:$C$268,2))</f>
        <v>bye</v>
      </c>
      <c r="P53" s="23">
        <f>IF($N53=0,"",VLOOKUP($N53,seznam!$A$2:$D$268,4))</f>
      </c>
      <c r="Q53" s="23">
        <f>A57</f>
        <v>0</v>
      </c>
      <c r="R53" s="23" t="str">
        <f>IF($Q53=0,"bye",VLOOKUP($Q53,seznam!$A$2:$C$268,2))</f>
        <v>bye</v>
      </c>
      <c r="S53" s="23">
        <f>IF($Q53=0,"",VLOOKUP($Q53,seznam!$A$2:$D$268,4))</f>
      </c>
      <c r="T53" s="55"/>
      <c r="U53" s="56"/>
      <c r="V53" s="56"/>
      <c r="W53" s="56"/>
      <c r="X53" s="57"/>
      <c r="Y53" s="23">
        <f aca="true" t="shared" si="69" ref="Y53:Y58">COUNTIF(AH53:AL53,"&gt;0")</f>
        <v>0</v>
      </c>
      <c r="Z53" s="23">
        <f aca="true" t="shared" si="70" ref="Z53:Z58">COUNTIF(AH53:AL53,"&lt;0")</f>
        <v>0</v>
      </c>
      <c r="AA53" s="23">
        <f aca="true" t="shared" si="71" ref="AA53:AA58">IF(Y53=Z53,0,IF(Y53&gt;Z53,N53,Q53))</f>
        <v>0</v>
      </c>
      <c r="AB53" s="23">
        <f>IF($AA53=0,"",VLOOKUP($AA53,seznam!$A$2:$C$268,2))</f>
      </c>
      <c r="AC53" s="23">
        <f aca="true" t="shared" si="72" ref="AC53:AC58">IF(Y53=Z53,"",IF(Y53&gt;Z53,CONCATENATE(Y53,":",Z53," (",T53,",",U53,",",V53,IF(SUM(Y53:Z53)&gt;3,",",""),W53,IF(SUM(Y53:Z53)&gt;4,",",""),X53,")"),CONCATENATE(Z53,":",Y53," (",-T53,",",-U53,",",-V53,IF(SUM(Y53:Z53)&gt;3,CONCATENATE(",",-W53),""),IF(SUM(Y53:Z53)&gt;4,CONCATENATE(",",-X53),""),")")))</f>
      </c>
      <c r="AD53" s="23">
        <f aca="true" t="shared" si="73" ref="AD53:AD58">IF(SUM(Y53:Z53)=0,"",AC53)</f>
      </c>
      <c r="AE53" s="23">
        <f aca="true" t="shared" si="74" ref="AE53:AE58">IF(T53="",0,IF(Y53&gt;Z53,2,1))</f>
        <v>0</v>
      </c>
      <c r="AF53" s="23">
        <f aca="true" t="shared" si="75" ref="AF53:AF58">IF(T53="",0,IF(Z53&gt;Y53,2,1))</f>
        <v>0</v>
      </c>
      <c r="AH53" s="23">
        <f aca="true" t="shared" si="76" ref="AH53:AL58">IF(T53="",0,IF(MID(T53,1,1)="-",-1,1))</f>
        <v>0</v>
      </c>
      <c r="AI53" s="23">
        <f t="shared" si="76"/>
        <v>0</v>
      </c>
      <c r="AJ53" s="23">
        <f t="shared" si="76"/>
        <v>0</v>
      </c>
      <c r="AK53" s="23">
        <f t="shared" si="76"/>
        <v>0</v>
      </c>
      <c r="AL53" s="23">
        <f t="shared" si="76"/>
        <v>0</v>
      </c>
      <c r="AN53" s="23" t="str">
        <f>CONCATENATE("&lt;Table border=1 cellpading=0 cellspacing=0 width=480&gt;&lt;TR&gt;&lt;TH colspan=2&gt;",B53,"&lt;TH&gt;1&lt;TH&gt;2&lt;TH&gt;3&lt;TH&gt;4&lt;TH&gt;Body&lt;TH&gt;Pořadí&lt;/TH&gt;&lt;/TR&gt;")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53" s="23" t="str">
        <f>CONCATENATE("&lt;TR&gt;&lt;TD width=250&gt;",J53,"&lt;TD&gt;",K53,"&lt;/TD&gt;&lt;/TR&gt;")</f>
        <v>&lt;TR&gt;&lt;TD width=250&gt;bye - bye&lt;TD&gt;&lt;/TD&gt;&lt;/TR&gt;</v>
      </c>
    </row>
    <row r="54" spans="1:42" ht="16.5" customHeight="1" thickTop="1">
      <c r="A54" s="38"/>
      <c r="B54" s="39">
        <f>IF($A54="","",CONCATENATE(VLOOKUP($A54,seznam!$A$2:$B$268,2)," (",VLOOKUP($A54,seznam!$A$2:$E$269,4),")"))</f>
      </c>
      <c r="C54" s="40" t="s">
        <v>30</v>
      </c>
      <c r="D54" s="41">
        <f>IF(Y56+Z56=0,"",CONCATENATE(Y56,":",Z56))</f>
      </c>
      <c r="E54" s="41">
        <f>IF(Y58+Z58=0,"",CONCATENATE(Z58,":",Y58))</f>
      </c>
      <c r="F54" s="42">
        <f>IF(Y53+Z53=0,"",CONCATENATE(Y53,":",Z53))</f>
      </c>
      <c r="G54" s="43">
        <f>IF(AE53+AE56+AF58=0,"",AE53+AE56+AF58)</f>
      </c>
      <c r="H54" s="42"/>
      <c r="J54" s="23" t="str">
        <f t="shared" si="67"/>
        <v>bye - bye</v>
      </c>
      <c r="K54" s="23">
        <f t="shared" si="68"/>
      </c>
      <c r="M54" s="23" t="str">
        <f>CONCATENATE("2.st. ",úvod!$C$8," - ",M52)</f>
        <v>2.st. YOUNGER CADET BOYS - Skupina H</v>
      </c>
      <c r="N54" s="23">
        <f>A55</f>
        <v>0</v>
      </c>
      <c r="O54" s="23" t="str">
        <f>IF($N54=0,"bye",VLOOKUP($N54,seznam!$A$2:$C$268,2))</f>
        <v>bye</v>
      </c>
      <c r="P54" s="23">
        <f>IF($N54=0,"",VLOOKUP($N54,seznam!$A$2:$D$268,4))</f>
      </c>
      <c r="Q54" s="23">
        <f>A56</f>
        <v>0</v>
      </c>
      <c r="R54" s="23" t="str">
        <f>IF($Q54=0,"bye",VLOOKUP($Q54,seznam!$A$2:$C$268,2))</f>
        <v>bye</v>
      </c>
      <c r="S54" s="23">
        <f>IF($Q54=0,"",VLOOKUP($Q54,seznam!$A$2:$D$268,4))</f>
      </c>
      <c r="T54" s="58"/>
      <c r="U54" s="59"/>
      <c r="V54" s="59"/>
      <c r="W54" s="59"/>
      <c r="X54" s="60"/>
      <c r="Y54" s="23">
        <f t="shared" si="69"/>
        <v>0</v>
      </c>
      <c r="Z54" s="23">
        <f t="shared" si="70"/>
        <v>0</v>
      </c>
      <c r="AA54" s="23">
        <f t="shared" si="71"/>
        <v>0</v>
      </c>
      <c r="AB54" s="23">
        <f>IF($AA54=0,"",VLOOKUP($AA54,seznam!$A$2:$C$268,2))</f>
      </c>
      <c r="AC54" s="23">
        <f t="shared" si="72"/>
      </c>
      <c r="AD54" s="23">
        <f t="shared" si="73"/>
      </c>
      <c r="AE54" s="23">
        <f t="shared" si="74"/>
        <v>0</v>
      </c>
      <c r="AF54" s="23">
        <f t="shared" si="75"/>
        <v>0</v>
      </c>
      <c r="AH54" s="23">
        <f t="shared" si="76"/>
        <v>0</v>
      </c>
      <c r="AI54" s="23">
        <f t="shared" si="76"/>
        <v>0</v>
      </c>
      <c r="AJ54" s="23">
        <f t="shared" si="76"/>
        <v>0</v>
      </c>
      <c r="AK54" s="23">
        <f t="shared" si="76"/>
        <v>0</v>
      </c>
      <c r="AL54" s="23">
        <f t="shared" si="76"/>
        <v>0</v>
      </c>
      <c r="AN54" s="23" t="str">
        <f>CONCATENATE(AO54,AO55,AO56,AO57,)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O54" s="23" t="str">
        <f>CONCATENATE("&lt;TR&gt;&lt;TD&gt;",A54,"&lt;TD width=200&gt;",B54,"&lt;TD&gt;",C54,"&lt;TD&gt;",D54,"&lt;TD&gt;",E54,"&lt;TD&gt;",F54,"&lt;TD&gt;",G54,"&lt;TD&gt;",H54,"&lt;/TD&gt;&lt;/TR&gt;")</f>
        <v>&lt;TR&gt;&lt;TD&gt;&lt;TD width=200&gt;&lt;TD&gt;XXX&lt;TD&gt;&lt;TD&gt;&lt;TD&gt;&lt;TD&gt;&lt;TD&gt;&lt;/TD&gt;&lt;/TR&gt;</v>
      </c>
      <c r="AP54" s="23" t="str">
        <f>CONCATENATE("&lt;TR&gt;&lt;TD&gt;",J54,"&lt;TD&gt;",K54,"&lt;/TD&gt;&lt;/TR&gt;")</f>
        <v>&lt;TR&gt;&lt;TD&gt;bye - bye&lt;TD&gt;&lt;/TD&gt;&lt;/TR&gt;</v>
      </c>
    </row>
    <row r="55" spans="1:42" ht="16.5" customHeight="1">
      <c r="A55" s="26"/>
      <c r="B55" s="32">
        <f>IF($A55="","",CONCATENATE(VLOOKUP($A55,seznam!$A$2:$B$268,2)," (",VLOOKUP($A55,seznam!$A$2:$E$269,4),")"))</f>
      </c>
      <c r="C55" s="36">
        <f>IF(Y56+Z56=0,"",CONCATENATE(Z56,":",Y56))</f>
      </c>
      <c r="D55" s="27" t="s">
        <v>30</v>
      </c>
      <c r="E55" s="27">
        <f>IF(Y54+Z54=0,"",CONCATENATE(Y54,":",Z54))</f>
      </c>
      <c r="F55" s="28">
        <f>IF(Y57+Z57=0,"",CONCATENATE(Y57,":",Z57))</f>
      </c>
      <c r="G55" s="34">
        <f>IF(AE54+AF56+AE57=0,"",AE54+AF56+AE57)</f>
      </c>
      <c r="H55" s="28"/>
      <c r="J55" s="23" t="str">
        <f t="shared" si="67"/>
        <v>bye - bye</v>
      </c>
      <c r="K55" s="23">
        <f t="shared" si="68"/>
      </c>
      <c r="M55" s="23" t="str">
        <f>CONCATENATE("2.st. ",úvod!$C$8," - ",M52)</f>
        <v>2.st. YOUNGER CADET BOYS - Skupina H</v>
      </c>
      <c r="N55" s="23">
        <f>A57</f>
        <v>0</v>
      </c>
      <c r="O55" s="23" t="str">
        <f>IF($N55=0,"bye",VLOOKUP($N55,seznam!$A$2:$C$268,2))</f>
        <v>bye</v>
      </c>
      <c r="P55" s="23">
        <f>IF($N55=0,"",VLOOKUP($N55,seznam!$A$2:$D$268,4))</f>
      </c>
      <c r="Q55" s="23">
        <f>A56</f>
        <v>0</v>
      </c>
      <c r="R55" s="23" t="str">
        <f>IF($Q55=0,"bye",VLOOKUP($Q55,seznam!$A$2:$C$268,2))</f>
        <v>bye</v>
      </c>
      <c r="S55" s="23">
        <f>IF($Q55=0,"",VLOOKUP($Q55,seznam!$A$2:$D$268,4))</f>
      </c>
      <c r="T55" s="58"/>
      <c r="U55" s="59"/>
      <c r="V55" s="59"/>
      <c r="W55" s="59"/>
      <c r="X55" s="60"/>
      <c r="Y55" s="23">
        <f t="shared" si="69"/>
        <v>0</v>
      </c>
      <c r="Z55" s="23">
        <f t="shared" si="70"/>
        <v>0</v>
      </c>
      <c r="AA55" s="23">
        <f t="shared" si="71"/>
        <v>0</v>
      </c>
      <c r="AB55" s="23">
        <f>IF($AA55=0,"",VLOOKUP($AA55,seznam!$A$2:$C$268,2))</f>
      </c>
      <c r="AC55" s="23">
        <f t="shared" si="72"/>
      </c>
      <c r="AD55" s="23">
        <f t="shared" si="73"/>
      </c>
      <c r="AE55" s="23">
        <f t="shared" si="74"/>
        <v>0</v>
      </c>
      <c r="AF55" s="23">
        <f t="shared" si="75"/>
        <v>0</v>
      </c>
      <c r="AH55" s="23">
        <f t="shared" si="76"/>
        <v>0</v>
      </c>
      <c r="AI55" s="23">
        <f t="shared" si="76"/>
        <v>0</v>
      </c>
      <c r="AJ55" s="23">
        <f t="shared" si="76"/>
        <v>0</v>
      </c>
      <c r="AK55" s="23">
        <f t="shared" si="76"/>
        <v>0</v>
      </c>
      <c r="AL55" s="23">
        <f t="shared" si="76"/>
        <v>0</v>
      </c>
      <c r="AN55" s="23" t="str">
        <f>CONCATENATE("&lt;/Table&gt;&lt;TD width=420&gt;&lt;Table&gt;")</f>
        <v>&lt;/Table&gt;&lt;TD width=420&gt;&lt;Table&gt;</v>
      </c>
      <c r="AO55" s="23" t="str">
        <f>CONCATENATE("&lt;TR&gt;&lt;TD&gt;",A55,"&lt;TD width=200&gt;",B55,"&lt;TD&gt;",C55,"&lt;TD&gt;",D55,"&lt;TD&gt;",E55,"&lt;TD&gt;",F55,"&lt;TD&gt;",G55,"&lt;TD&gt;",H55,"&lt;/TD&gt;&lt;/TR&gt;")</f>
        <v>&lt;TR&gt;&lt;TD&gt;&lt;TD width=200&gt;&lt;TD&gt;&lt;TD&gt;XXX&lt;TD&gt;&lt;TD&gt;&lt;TD&gt;&lt;TD&gt;&lt;/TD&gt;&lt;/TR&gt;</v>
      </c>
      <c r="AP55" s="23" t="str">
        <f>CONCATENATE("&lt;TR&gt;&lt;TD&gt;",J55,"&lt;TD&gt;",K55,"&lt;/TD&gt;&lt;/TR&gt;")</f>
        <v>&lt;TR&gt;&lt;TD&gt;bye - bye&lt;TD&gt;&lt;/TD&gt;&lt;/TR&gt;</v>
      </c>
    </row>
    <row r="56" spans="1:42" ht="16.5" customHeight="1">
      <c r="A56" s="26"/>
      <c r="B56" s="32">
        <f>IF($A56="","",CONCATENATE(VLOOKUP($A56,seznam!$A$2:$B$268,2)," (",VLOOKUP($A56,seznam!$A$2:$E$269,4),")"))</f>
      </c>
      <c r="C56" s="36">
        <f>IF(Y58+Z58=0,"",CONCATENATE(Y58,":",Z58))</f>
      </c>
      <c r="D56" s="27">
        <f>IF(Y54+Z54=0,"",CONCATENATE(Z54,":",Y54))</f>
      </c>
      <c r="E56" s="27" t="s">
        <v>30</v>
      </c>
      <c r="F56" s="28">
        <f>IF(Y55+Z55=0,"",CONCATENATE(Z55,":",Y55))</f>
      </c>
      <c r="G56" s="34">
        <f>IF(AF54+AF55+AE58=0,"",AF54+AF55+AE58)</f>
      </c>
      <c r="H56" s="28"/>
      <c r="J56" s="23" t="str">
        <f t="shared" si="67"/>
        <v>bye - bye</v>
      </c>
      <c r="K56" s="23">
        <f t="shared" si="68"/>
      </c>
      <c r="M56" s="23" t="str">
        <f>CONCATENATE("2.st. ",úvod!$C$8," - ",M52)</f>
        <v>2.st. YOUNGER CADET BOYS - Skupina H</v>
      </c>
      <c r="N56" s="23">
        <f>A54</f>
        <v>0</v>
      </c>
      <c r="O56" s="23" t="str">
        <f>IF($N56=0,"bye",VLOOKUP($N56,seznam!$A$2:$C$268,2))</f>
        <v>bye</v>
      </c>
      <c r="P56" s="23">
        <f>IF($N56=0,"",VLOOKUP($N56,seznam!$A$2:$D$268,4))</f>
      </c>
      <c r="Q56" s="23">
        <f>A55</f>
        <v>0</v>
      </c>
      <c r="R56" s="23" t="str">
        <f>IF($Q56=0,"bye",VLOOKUP($Q56,seznam!$A$2:$C$268,2))</f>
        <v>bye</v>
      </c>
      <c r="S56" s="23">
        <f>IF($Q56=0,"",VLOOKUP($Q56,seznam!$A$2:$D$268,4))</f>
      </c>
      <c r="T56" s="58"/>
      <c r="U56" s="59"/>
      <c r="V56" s="59"/>
      <c r="W56" s="59"/>
      <c r="X56" s="60"/>
      <c r="Y56" s="23">
        <f t="shared" si="69"/>
        <v>0</v>
      </c>
      <c r="Z56" s="23">
        <f t="shared" si="70"/>
        <v>0</v>
      </c>
      <c r="AA56" s="23">
        <f t="shared" si="71"/>
        <v>0</v>
      </c>
      <c r="AB56" s="23">
        <f>IF($AA56=0,"",VLOOKUP($AA56,seznam!$A$2:$C$268,2))</f>
      </c>
      <c r="AC56" s="23">
        <f t="shared" si="72"/>
      </c>
      <c r="AD56" s="23">
        <f t="shared" si="73"/>
      </c>
      <c r="AE56" s="23">
        <f t="shared" si="74"/>
        <v>0</v>
      </c>
      <c r="AF56" s="23">
        <f t="shared" si="75"/>
        <v>0</v>
      </c>
      <c r="AH56" s="23">
        <f t="shared" si="76"/>
        <v>0</v>
      </c>
      <c r="AI56" s="23">
        <f t="shared" si="76"/>
        <v>0</v>
      </c>
      <c r="AJ56" s="23">
        <f t="shared" si="76"/>
        <v>0</v>
      </c>
      <c r="AK56" s="23">
        <f t="shared" si="76"/>
        <v>0</v>
      </c>
      <c r="AL56" s="23">
        <f t="shared" si="76"/>
        <v>0</v>
      </c>
      <c r="AN56" s="23" t="str">
        <f>CONCATENATE(AP53,AP54,AP55,AP56,AP57,AP58,)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O56" s="23" t="str">
        <f>CONCATENATE("&lt;TR&gt;&lt;TD&gt;",A56,"&lt;TD width=200&gt;",B56,"&lt;TD&gt;",C56,"&lt;TD&gt;",D56,"&lt;TD&gt;",E56,"&lt;TD&gt;",F56,"&lt;TD&gt;",G56,"&lt;TD&gt;",H56,"&lt;/TD&gt;&lt;/TR&gt;")</f>
        <v>&lt;TR&gt;&lt;TD&gt;&lt;TD width=200&gt;&lt;TD&gt;&lt;TD&gt;&lt;TD&gt;XXX&lt;TD&gt;&lt;TD&gt;&lt;TD&gt;&lt;/TD&gt;&lt;/TR&gt;</v>
      </c>
      <c r="AP56" s="23" t="str">
        <f>CONCATENATE("&lt;TR&gt;&lt;TD&gt;",J56,"&lt;TD&gt;",K56,"&lt;/TD&gt;&lt;/TR&gt;")</f>
        <v>&lt;TR&gt;&lt;TD&gt;bye - bye&lt;TD&gt;&lt;/TD&gt;&lt;/TR&gt;</v>
      </c>
    </row>
    <row r="57" spans="1:42" ht="16.5" customHeight="1" thickBot="1">
      <c r="A57" s="29"/>
      <c r="B57" s="33">
        <f>IF($A57="","",CONCATENATE(VLOOKUP($A57,seznam!$A$2:$B$268,2)," (",VLOOKUP($A57,seznam!$A$2:$E$269,4),")"))</f>
      </c>
      <c r="C57" s="37">
        <f>IF(Y53+Z53=0,"",CONCATENATE(Z53,":",Y53))</f>
      </c>
      <c r="D57" s="30">
        <f>IF(Y57+Z57=0,"",CONCATENATE(Z57,":",Y57))</f>
      </c>
      <c r="E57" s="30">
        <f>IF(Y55+Z55=0,"",CONCATENATE(Y55,":",Z55))</f>
      </c>
      <c r="F57" s="31" t="s">
        <v>30</v>
      </c>
      <c r="G57" s="35">
        <f>IF(AF53+AE55+AF57=0,"",AF53+AE55+AF57)</f>
      </c>
      <c r="H57" s="31"/>
      <c r="J57" s="23" t="str">
        <f t="shared" si="67"/>
        <v>bye - bye</v>
      </c>
      <c r="K57" s="23">
        <f t="shared" si="68"/>
      </c>
      <c r="M57" s="23" t="str">
        <f>CONCATENATE("2.st. ",úvod!$C$8," - ",M52)</f>
        <v>2.st. YOUNGER CADET BOYS - Skupina H</v>
      </c>
      <c r="N57" s="23">
        <f>A55</f>
        <v>0</v>
      </c>
      <c r="O57" s="23" t="str">
        <f>IF($N57=0,"bye",VLOOKUP($N57,seznam!$A$2:$C$268,2))</f>
        <v>bye</v>
      </c>
      <c r="P57" s="23">
        <f>IF($N57=0,"",VLOOKUP($N57,seznam!$A$2:$D$268,4))</f>
      </c>
      <c r="Q57" s="23">
        <f>A57</f>
        <v>0</v>
      </c>
      <c r="R57" s="23" t="str">
        <f>IF($Q57=0,"bye",VLOOKUP($Q57,seznam!$A$2:$C$268,2))</f>
        <v>bye</v>
      </c>
      <c r="S57" s="23">
        <f>IF($Q57=0,"",VLOOKUP($Q57,seznam!$A$2:$D$268,4))</f>
      </c>
      <c r="T57" s="58"/>
      <c r="U57" s="59"/>
      <c r="V57" s="59"/>
      <c r="W57" s="59"/>
      <c r="X57" s="60"/>
      <c r="Y57" s="23">
        <f t="shared" si="69"/>
        <v>0</v>
      </c>
      <c r="Z57" s="23">
        <f t="shared" si="70"/>
        <v>0</v>
      </c>
      <c r="AA57" s="23">
        <f t="shared" si="71"/>
        <v>0</v>
      </c>
      <c r="AB57" s="23">
        <f>IF($AA57=0,"",VLOOKUP($AA57,seznam!$A$2:$C$268,2))</f>
      </c>
      <c r="AC57" s="23">
        <f t="shared" si="72"/>
      </c>
      <c r="AD57" s="23">
        <f t="shared" si="73"/>
      </c>
      <c r="AE57" s="23">
        <f t="shared" si="74"/>
        <v>0</v>
      </c>
      <c r="AF57" s="23">
        <f t="shared" si="75"/>
        <v>0</v>
      </c>
      <c r="AH57" s="23">
        <f t="shared" si="76"/>
        <v>0</v>
      </c>
      <c r="AI57" s="23">
        <f t="shared" si="76"/>
        <v>0</v>
      </c>
      <c r="AJ57" s="23">
        <f t="shared" si="76"/>
        <v>0</v>
      </c>
      <c r="AK57" s="23">
        <f t="shared" si="76"/>
        <v>0</v>
      </c>
      <c r="AL57" s="23">
        <f t="shared" si="76"/>
        <v>0</v>
      </c>
      <c r="AN57" s="23" t="str">
        <f>CONCATENATE("&lt;/Table&gt;&lt;/TD&gt;&lt;/TR&gt;&lt;/Table&gt;&lt;P&gt;")</f>
        <v>&lt;/Table&gt;&lt;/TD&gt;&lt;/TR&gt;&lt;/Table&gt;&lt;P&gt;</v>
      </c>
      <c r="AO57" s="23" t="str">
        <f>CONCATENATE("&lt;TR&gt;&lt;TD&gt;",A57,"&lt;TD width=200&gt;",B57,"&lt;TD&gt;",C57,"&lt;TD&gt;",D57,"&lt;TD&gt;",E57,"&lt;TD&gt;",F57,"&lt;TD&gt;",G57,"&lt;TD&gt;",H57,"&lt;/TD&gt;&lt;/TR&gt;")</f>
        <v>&lt;TR&gt;&lt;TD&gt;&lt;TD width=200&gt;&lt;TD&gt;&lt;TD&gt;&lt;TD&gt;&lt;TD&gt;XXX&lt;TD&gt;&lt;TD&gt;&lt;/TD&gt;&lt;/TR&gt;</v>
      </c>
      <c r="AP57" s="23" t="str">
        <f>CONCATENATE("&lt;TR&gt;&lt;TD&gt;",J57,"&lt;TD&gt;",K57,"&lt;/TD&gt;&lt;/TR&gt;")</f>
        <v>&lt;TR&gt;&lt;TD&gt;bye - bye&lt;TD&gt;&lt;/TD&gt;&lt;/TR&gt;</v>
      </c>
    </row>
    <row r="58" spans="10:42" ht="16.5" customHeight="1" thickBot="1" thickTop="1">
      <c r="J58" s="23" t="str">
        <f t="shared" si="67"/>
        <v>bye - bye</v>
      </c>
      <c r="K58" s="23">
        <f t="shared" si="68"/>
      </c>
      <c r="M58" s="23" t="str">
        <f>CONCATENATE("2.st. ",úvod!$C$8," - ",M52)</f>
        <v>2.st. YOUNGER CADET BOYS - Skupina H</v>
      </c>
      <c r="N58" s="23">
        <f>A56</f>
        <v>0</v>
      </c>
      <c r="O58" s="23" t="str">
        <f>IF($N58=0,"bye",VLOOKUP($N58,seznam!$A$2:$C$268,2))</f>
        <v>bye</v>
      </c>
      <c r="P58" s="23">
        <f>IF($N58=0,"",VLOOKUP($N58,seznam!$A$2:$D$268,4))</f>
      </c>
      <c r="Q58" s="23">
        <f>A54</f>
        <v>0</v>
      </c>
      <c r="R58" s="23" t="str">
        <f>IF($Q58=0,"bye",VLOOKUP($Q58,seznam!$A$2:$C$268,2))</f>
        <v>bye</v>
      </c>
      <c r="S58" s="23">
        <f>IF($Q58=0,"",VLOOKUP($Q58,seznam!$A$2:$D$268,4))</f>
      </c>
      <c r="T58" s="61"/>
      <c r="U58" s="62"/>
      <c r="V58" s="62"/>
      <c r="W58" s="62"/>
      <c r="X58" s="63"/>
      <c r="Y58" s="23">
        <f t="shared" si="69"/>
        <v>0</v>
      </c>
      <c r="Z58" s="23">
        <f t="shared" si="70"/>
        <v>0</v>
      </c>
      <c r="AA58" s="23">
        <f t="shared" si="71"/>
        <v>0</v>
      </c>
      <c r="AB58" s="23">
        <f>IF($AA58=0,"",VLOOKUP($AA58,seznam!$A$2:$C$268,2))</f>
      </c>
      <c r="AC58" s="23">
        <f t="shared" si="72"/>
      </c>
      <c r="AD58" s="23">
        <f t="shared" si="73"/>
      </c>
      <c r="AE58" s="23">
        <f t="shared" si="74"/>
        <v>0</v>
      </c>
      <c r="AF58" s="23">
        <f t="shared" si="75"/>
        <v>0</v>
      </c>
      <c r="AH58" s="23">
        <f t="shared" si="76"/>
        <v>0</v>
      </c>
      <c r="AI58" s="23">
        <f t="shared" si="76"/>
        <v>0</v>
      </c>
      <c r="AJ58" s="23">
        <f t="shared" si="76"/>
        <v>0</v>
      </c>
      <c r="AK58" s="23">
        <f t="shared" si="76"/>
        <v>0</v>
      </c>
      <c r="AL58" s="23">
        <f t="shared" si="76"/>
        <v>0</v>
      </c>
      <c r="AP58" s="23" t="str">
        <f>CONCATENATE("&lt;TR&gt;&lt;TD&gt;",J58,"&lt;TD&gt;",K58,"&lt;/TD&gt;&lt;/TR&gt;")</f>
        <v>&lt;TR&gt;&lt;TD&gt;bye - bye&lt;TD&gt;&lt;/TD&gt;&lt;/TR&gt;</v>
      </c>
    </row>
    <row r="59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view="pageBreakPreview" zoomScale="85" zoomScaleNormal="75" zoomScaleSheetLayoutView="85" zoomScalePageLayoutView="0" workbookViewId="0" topLeftCell="A1">
      <selection activeCell="C54" sqref="C54"/>
    </sheetView>
  </sheetViews>
  <sheetFormatPr defaultColWidth="9.00390625" defaultRowHeight="12.75"/>
  <cols>
    <col min="1" max="1" width="4.125" style="2" bestFit="1" customWidth="1"/>
    <col min="2" max="2" width="5.125" style="2" customWidth="1"/>
    <col min="3" max="3" width="29.375" style="2" bestFit="1" customWidth="1"/>
    <col min="4" max="4" width="0.875" style="2" customWidth="1"/>
    <col min="5" max="8" width="19.375" style="2" customWidth="1"/>
    <col min="9" max="16384" width="9.125" style="2" customWidth="1"/>
  </cols>
  <sheetData>
    <row r="1" spans="2:8" ht="27" customHeight="1">
      <c r="B1" s="3" t="str">
        <f>úvod!$C$6</f>
        <v>Satellite Youth Table Tennis Tournament</v>
      </c>
      <c r="H1" s="77" t="s">
        <v>95</v>
      </c>
    </row>
    <row r="2" spans="2:8" ht="21" customHeight="1">
      <c r="B2" s="4" t="s">
        <v>82</v>
      </c>
      <c r="H2" s="20" t="str">
        <f>CONCATENATE(" ",úvod!$C$8)</f>
        <v> YOUNGER CADET BOYS</v>
      </c>
    </row>
    <row r="3" spans="4:8" ht="15.75">
      <c r="D3" s="4"/>
      <c r="H3" s="74" t="str">
        <f>úvod!$C$7</f>
        <v>15.8. 2011</v>
      </c>
    </row>
    <row r="4" spans="1:3" ht="12.75">
      <c r="A4" s="2">
        <v>1</v>
      </c>
      <c r="B4" s="2">
        <v>6</v>
      </c>
      <c r="C4" s="5" t="str">
        <f>IF($B4="","bye",CONCATENATE(VLOOKUP($B4,seznam!$A$2:$E$269,2)," (",VLOOKUP($B4,seznam!$A$2:$E$269,4),")"))</f>
        <v>Riznychenko Ostap (Dnepropetrovsk (UKR))</v>
      </c>
    </row>
    <row r="5" spans="4:5" ht="12.75">
      <c r="D5" s="13"/>
      <c r="E5" s="5" t="s">
        <v>231</v>
      </c>
    </row>
    <row r="6" spans="1:5" ht="12.75">
      <c r="A6" s="2">
        <v>2</v>
      </c>
      <c r="C6" s="5" t="str">
        <f>IF($B6="","bye",CONCATENATE(VLOOKUP($B6,seznam!$A$2:$E$269,2)," (",VLOOKUP($B6,seznam!$A$2:$E$269,4),")"))</f>
        <v>bye</v>
      </c>
      <c r="D6" s="14"/>
      <c r="E6" s="6"/>
    </row>
    <row r="7" spans="4:6" ht="12.75">
      <c r="D7" s="15"/>
      <c r="E7" s="8"/>
      <c r="F7" s="9" t="s">
        <v>247</v>
      </c>
    </row>
    <row r="8" spans="1:6" ht="12.75">
      <c r="A8" s="2">
        <v>3</v>
      </c>
      <c r="B8" s="2">
        <v>31</v>
      </c>
      <c r="C8" s="5" t="str">
        <f>IF($B8="","bye",CONCATENATE(VLOOKUP($B8,seznam!$A$2:$E$269,2)," (",VLOOKUP($B8,seznam!$A$2:$E$269,4),")"))</f>
        <v>Cyprich Radovan (MSK Čadca)</v>
      </c>
      <c r="D8" s="12"/>
      <c r="E8" s="8"/>
      <c r="F8" s="6"/>
    </row>
    <row r="9" spans="4:6" ht="12.75">
      <c r="D9" s="13"/>
      <c r="E9" s="7" t="s">
        <v>232</v>
      </c>
      <c r="F9" s="8"/>
    </row>
    <row r="10" spans="1:6" ht="12.75">
      <c r="A10" s="2">
        <v>4</v>
      </c>
      <c r="B10" s="2">
        <v>17</v>
      </c>
      <c r="C10" s="5" t="str">
        <f>IF($B10="","bye",CONCATENATE(VLOOKUP($B10,seznam!$A$2:$E$269,2)," (",VLOOKUP($B10,seznam!$A$2:$E$269,4),")"))</f>
        <v>Shilo Elitzedek (Israel )</v>
      </c>
      <c r="D10" s="14"/>
      <c r="F10" s="8"/>
    </row>
    <row r="11" spans="4:7" ht="12.75">
      <c r="D11" s="15"/>
      <c r="F11" s="8"/>
      <c r="G11" s="9" t="s">
        <v>255</v>
      </c>
    </row>
    <row r="12" spans="1:7" ht="12.75">
      <c r="A12" s="2">
        <v>5</v>
      </c>
      <c r="B12" s="2">
        <v>35</v>
      </c>
      <c r="C12" s="5" t="str">
        <f>IF($B12="","bye",CONCATENATE(VLOOKUP($B12,seznam!$A$2:$E$269,2)," (",VLOOKUP($B12,seznam!$A$2:$E$269,4),")"))</f>
        <v>Bogdan Cosmin Singeorzan (Rumunsko)</v>
      </c>
      <c r="D12" s="12"/>
      <c r="F12" s="8"/>
      <c r="G12" s="6"/>
    </row>
    <row r="13" spans="4:7" ht="12.75">
      <c r="D13" s="13"/>
      <c r="E13" s="5" t="s">
        <v>233</v>
      </c>
      <c r="F13" s="8"/>
      <c r="G13" s="8"/>
    </row>
    <row r="14" spans="1:7" ht="12.75">
      <c r="A14" s="2">
        <v>6</v>
      </c>
      <c r="B14" s="2">
        <v>38</v>
      </c>
      <c r="C14" s="5" t="str">
        <f>IF($B14="","bye",CONCATENATE(VLOOKUP($B14,seznam!$A$2:$E$269,2)," (",VLOOKUP($B14,seznam!$A$2:$E$269,4),")"))</f>
        <v>Šálený David (SKST Týn nad Vltavou)</v>
      </c>
      <c r="D14" s="14"/>
      <c r="E14" s="6"/>
      <c r="F14" s="8"/>
      <c r="G14" s="8"/>
    </row>
    <row r="15" spans="4:7" ht="12.75">
      <c r="D15" s="15"/>
      <c r="E15" s="8"/>
      <c r="F15" s="10" t="s">
        <v>248</v>
      </c>
      <c r="G15" s="8"/>
    </row>
    <row r="16" spans="1:7" ht="12.75">
      <c r="A16" s="2">
        <v>7</v>
      </c>
      <c r="B16" s="2">
        <v>32</v>
      </c>
      <c r="C16" s="5" t="str">
        <f>IF($B16="","bye",CONCATENATE(VLOOKUP($B16,seznam!$A$2:$E$269,2)," (",VLOOKUP($B16,seznam!$A$2:$E$269,4),")"))</f>
        <v>Cyprich Samuel (MSK Čadca)</v>
      </c>
      <c r="D16" s="12"/>
      <c r="E16" s="8"/>
      <c r="G16" s="8"/>
    </row>
    <row r="17" spans="4:7" ht="12.75">
      <c r="D17" s="13"/>
      <c r="E17" s="7" t="s">
        <v>234</v>
      </c>
      <c r="G17" s="8"/>
    </row>
    <row r="18" spans="1:7" ht="12.75">
      <c r="A18" s="2">
        <v>8</v>
      </c>
      <c r="B18" s="2">
        <v>29</v>
      </c>
      <c r="C18" s="5" t="str">
        <f>IF($B18="","bye",CONCATENATE(VLOOKUP($B18,seznam!$A$2:$E$269,2)," (",VLOOKUP($B18,seznam!$A$2:$E$269,4),")"))</f>
        <v>Jiří Martinko (Mittal Ostrava)</v>
      </c>
      <c r="D18" s="14"/>
      <c r="G18" s="8"/>
    </row>
    <row r="19" spans="4:8" ht="12.75">
      <c r="D19" s="15"/>
      <c r="H19" s="21" t="s">
        <v>258</v>
      </c>
    </row>
    <row r="20" spans="1:8" ht="12.75">
      <c r="A20" s="2">
        <v>9</v>
      </c>
      <c r="B20" s="2">
        <v>16</v>
      </c>
      <c r="C20" s="5" t="str">
        <f>IF($B20="","bye",CONCATENATE(VLOOKUP($B20,seznam!$A$2:$E$269,2)," (",VLOOKUP($B20,seznam!$A$2:$E$269,4),")"))</f>
        <v>Erez Shmueli (Israel )</v>
      </c>
      <c r="D20" s="12"/>
      <c r="F20" s="75"/>
      <c r="H20" s="76"/>
    </row>
    <row r="21" spans="4:8" ht="12.75">
      <c r="D21" s="13"/>
      <c r="E21" s="5" t="s">
        <v>235</v>
      </c>
      <c r="G21" s="8"/>
      <c r="H21" s="8"/>
    </row>
    <row r="22" spans="1:8" ht="12.75">
      <c r="A22" s="2">
        <v>10</v>
      </c>
      <c r="B22" s="2">
        <v>28</v>
      </c>
      <c r="C22" s="5" t="str">
        <f>IF($B22="","bye",CONCATENATE(VLOOKUP($B22,seznam!$A$2:$E$269,2)," (",VLOOKUP($B22,seznam!$A$2:$E$269,4),")"))</f>
        <v>Peko Štefan (KST Viktoria Trnava)</v>
      </c>
      <c r="D22" s="14"/>
      <c r="E22" s="6"/>
      <c r="G22" s="8"/>
      <c r="H22" s="8"/>
    </row>
    <row r="23" spans="4:8" ht="12.75">
      <c r="D23" s="15"/>
      <c r="E23" s="8"/>
      <c r="F23" s="9" t="s">
        <v>249</v>
      </c>
      <c r="G23" s="8"/>
      <c r="H23" s="8"/>
    </row>
    <row r="24" spans="1:8" ht="12.75">
      <c r="A24" s="2">
        <v>11</v>
      </c>
      <c r="B24" s="2">
        <v>46</v>
      </c>
      <c r="C24" s="5" t="str">
        <f>IF($B24="","bye",CONCATENATE(VLOOKUP($B24,seznam!$A$2:$E$269,2)," (",VLOOKUP($B24,seznam!$A$2:$E$269,4),")"))</f>
        <v>Hudec Alexander (Trenčín 2)</v>
      </c>
      <c r="D24" s="12"/>
      <c r="E24" s="8"/>
      <c r="F24" s="6"/>
      <c r="G24" s="8"/>
      <c r="H24" s="8"/>
    </row>
    <row r="25" spans="4:8" ht="12.75">
      <c r="D25" s="13"/>
      <c r="E25" s="7" t="s">
        <v>236</v>
      </c>
      <c r="F25" s="8"/>
      <c r="G25" s="8"/>
      <c r="H25" s="8"/>
    </row>
    <row r="26" spans="1:8" ht="12.75">
      <c r="A26" s="2">
        <v>12</v>
      </c>
      <c r="B26" s="2">
        <v>2</v>
      </c>
      <c r="C26" s="5" t="str">
        <f>IF($B26="","bye",CONCATENATE(VLOOKUP($B26,seznam!$A$2:$E$269,2)," (",VLOOKUP($B26,seznam!$A$2:$E$269,4),")"))</f>
        <v>Davnarovich Pavel (Belarus )</v>
      </c>
      <c r="D26" s="14"/>
      <c r="F26" s="8"/>
      <c r="G26" s="8"/>
      <c r="H26" s="8"/>
    </row>
    <row r="27" spans="4:8" ht="12.75">
      <c r="D27" s="15"/>
      <c r="F27" s="8"/>
      <c r="G27" s="10" t="s">
        <v>256</v>
      </c>
      <c r="H27" s="8"/>
    </row>
    <row r="28" spans="1:8" ht="12.75">
      <c r="A28" s="2">
        <v>13</v>
      </c>
      <c r="B28" s="2">
        <v>3</v>
      </c>
      <c r="C28" s="5" t="str">
        <f>IF($B28="","bye",CONCATENATE(VLOOKUP($B28,seznam!$A$2:$E$269,2)," (",VLOOKUP($B28,seznam!$A$2:$E$269,4),")"))</f>
        <v>Rukljecov Vladislav (Belarus )</v>
      </c>
      <c r="D28" s="12"/>
      <c r="F28" s="8"/>
      <c r="H28" s="8"/>
    </row>
    <row r="29" spans="4:8" ht="12.75">
      <c r="D29" s="13"/>
      <c r="E29" s="5" t="s">
        <v>237</v>
      </c>
      <c r="F29" s="8"/>
      <c r="H29" s="8"/>
    </row>
    <row r="30" spans="1:8" ht="12.75">
      <c r="A30" s="2">
        <v>14</v>
      </c>
      <c r="B30" s="2">
        <v>15</v>
      </c>
      <c r="C30" s="5" t="str">
        <f>IF($B30="","bye",CONCATENATE(VLOOKUP($B30,seznam!$A$2:$E$269,2)," (",VLOOKUP($B30,seznam!$A$2:$E$269,4),")"))</f>
        <v>Shusterman Yonatan (Israel )</v>
      </c>
      <c r="D30" s="14"/>
      <c r="E30" s="6"/>
      <c r="F30" s="8"/>
      <c r="H30" s="8"/>
    </row>
    <row r="31" spans="4:8" ht="12.75">
      <c r="D31" s="15"/>
      <c r="E31" s="8"/>
      <c r="F31" s="10" t="s">
        <v>250</v>
      </c>
      <c r="H31" s="8"/>
    </row>
    <row r="32" spans="1:8" ht="12.75">
      <c r="A32" s="2">
        <v>15</v>
      </c>
      <c r="B32" s="2">
        <v>24</v>
      </c>
      <c r="C32" s="5" t="str">
        <f>IF($B32="","bye",CONCATENATE(VLOOKUP($B32,seznam!$A$2:$E$269,2)," (",VLOOKUP($B32,seznam!$A$2:$E$269,4),")"))</f>
        <v>Kováč Maxim (Karlova Ves)</v>
      </c>
      <c r="D32" s="12"/>
      <c r="E32" s="8"/>
      <c r="H32" s="8"/>
    </row>
    <row r="33" spans="4:8" ht="12.75">
      <c r="D33" s="13"/>
      <c r="E33" s="7" t="s">
        <v>238</v>
      </c>
      <c r="H33" s="8"/>
    </row>
    <row r="34" spans="1:8" ht="12.75">
      <c r="A34" s="2">
        <v>16</v>
      </c>
      <c r="B34" s="2">
        <v>33</v>
      </c>
      <c r="C34" s="5" t="str">
        <f>IF($B34="","bye",CONCATENATE(VLOOKUP($B34,seznam!$A$2:$E$269,2)," (",VLOOKUP($B34,seznam!$A$2:$E$269,4),")"))</f>
        <v>Schlie Jonah (Niedersachsen )</v>
      </c>
      <c r="D34" s="14"/>
      <c r="H34" s="8"/>
    </row>
    <row r="35" ht="12.75">
      <c r="H35" s="11" t="s">
        <v>260</v>
      </c>
    </row>
    <row r="36" spans="1:8" ht="12.75">
      <c r="A36" s="2">
        <v>17</v>
      </c>
      <c r="B36" s="2">
        <v>13</v>
      </c>
      <c r="C36" s="5" t="str">
        <f>IF($B36="","bye",CONCATENATE(VLOOKUP($B36,seznam!$A$2:$E$269,2)," (",VLOOKUP($B36,seznam!$A$2:$E$269,4),")"))</f>
        <v>Karamazin Yaniv (Israel )</v>
      </c>
      <c r="H36" s="6"/>
    </row>
    <row r="37" spans="4:8" ht="12.75">
      <c r="D37" s="13"/>
      <c r="E37" s="5" t="s">
        <v>239</v>
      </c>
      <c r="H37" s="8"/>
    </row>
    <row r="38" spans="1:8" ht="12.75">
      <c r="A38" s="2">
        <v>18</v>
      </c>
      <c r="B38" s="2">
        <v>59</v>
      </c>
      <c r="C38" s="5" t="str">
        <f>IF($B38="","bye",CONCATENATE(VLOOKUP($B38,seznam!$A$2:$E$269,2)," (",VLOOKUP($B38,seznam!$A$2:$E$269,4),")"))</f>
        <v>Dufek Jakub (Zlín )</v>
      </c>
      <c r="D38" s="14"/>
      <c r="E38" s="6"/>
      <c r="H38" s="8"/>
    </row>
    <row r="39" spans="4:8" ht="12.75">
      <c r="D39" s="15"/>
      <c r="E39" s="8"/>
      <c r="F39" s="9" t="s">
        <v>251</v>
      </c>
      <c r="H39" s="8"/>
    </row>
    <row r="40" spans="1:8" ht="12.75">
      <c r="A40" s="2">
        <v>19</v>
      </c>
      <c r="B40" s="2">
        <v>8</v>
      </c>
      <c r="C40" s="5" t="str">
        <f>IF($B40="","bye",CONCATENATE(VLOOKUP($B40,seznam!$A$2:$E$269,2)," (",VLOOKUP($B40,seznam!$A$2:$E$269,4),")"))</f>
        <v>Filip Hromek (Dubňany)</v>
      </c>
      <c r="D40" s="12"/>
      <c r="E40" s="8"/>
      <c r="F40" s="6"/>
      <c r="H40" s="8"/>
    </row>
    <row r="41" spans="4:8" ht="12.75">
      <c r="D41" s="13"/>
      <c r="E41" s="7" t="s">
        <v>240</v>
      </c>
      <c r="F41" s="8"/>
      <c r="H41" s="8"/>
    </row>
    <row r="42" spans="1:8" ht="12.75">
      <c r="A42" s="2">
        <v>20</v>
      </c>
      <c r="B42" s="2">
        <v>1</v>
      </c>
      <c r="C42" s="5" t="str">
        <f>IF($B42="","bye",CONCATENATE(VLOOKUP($B42,seznam!$A$2:$E$269,2)," (",VLOOKUP($B42,seznam!$A$2:$E$269,4),")"))</f>
        <v>Genin Valentin (Belarus )</v>
      </c>
      <c r="D42" s="14"/>
      <c r="F42" s="8"/>
      <c r="H42" s="8"/>
    </row>
    <row r="43" spans="4:8" ht="12.75">
      <c r="D43" s="15"/>
      <c r="F43" s="8"/>
      <c r="G43" s="9" t="s">
        <v>257</v>
      </c>
      <c r="H43" s="8"/>
    </row>
    <row r="44" spans="1:8" ht="12.75">
      <c r="A44" s="2">
        <v>21</v>
      </c>
      <c r="B44" s="2">
        <v>4</v>
      </c>
      <c r="C44" s="5" t="str">
        <f>IF($B44="","bye",CONCATENATE(VLOOKUP($B44,seznam!$A$2:$E$269,2)," (",VLOOKUP($B44,seznam!$A$2:$E$269,4),")"))</f>
        <v>Gottschalk Florian (Berliner (GER))</v>
      </c>
      <c r="D44" s="12"/>
      <c r="F44" s="8"/>
      <c r="G44" s="6"/>
      <c r="H44" s="8"/>
    </row>
    <row r="45" spans="4:8" ht="12.75">
      <c r="D45" s="13"/>
      <c r="E45" s="5" t="s">
        <v>241</v>
      </c>
      <c r="F45" s="8"/>
      <c r="G45" s="8"/>
      <c r="H45" s="8"/>
    </row>
    <row r="46" spans="1:8" ht="12.75">
      <c r="A46" s="2">
        <v>22</v>
      </c>
      <c r="B46" s="2">
        <v>10</v>
      </c>
      <c r="C46" s="5" t="str">
        <f>IF($B46="","bye",CONCATENATE(VLOOKUP($B46,seznam!$A$2:$E$269,2)," (",VLOOKUP($B46,seznam!$A$2:$E$269,4),")"))</f>
        <v>Wiltschka David (Gasto Galanta)</v>
      </c>
      <c r="D46" s="14"/>
      <c r="E46" s="6"/>
      <c r="F46" s="8"/>
      <c r="G46" s="8"/>
      <c r="H46" s="8"/>
    </row>
    <row r="47" spans="4:8" ht="12.75">
      <c r="D47" s="15"/>
      <c r="E47" s="8"/>
      <c r="F47" s="10" t="s">
        <v>252</v>
      </c>
      <c r="G47" s="8"/>
      <c r="H47" s="8"/>
    </row>
    <row r="48" spans="1:8" ht="12.75">
      <c r="A48" s="2">
        <v>23</v>
      </c>
      <c r="B48" s="2">
        <v>18</v>
      </c>
      <c r="C48" s="5" t="str">
        <f>IF($B48="","bye",CONCATENATE(VLOOKUP($B48,seznam!$A$2:$E$269,2)," (",VLOOKUP($B48,seznam!$A$2:$E$269,4),")"))</f>
        <v>Omer Levi (Israel )</v>
      </c>
      <c r="D48" s="12"/>
      <c r="E48" s="8"/>
      <c r="G48" s="8"/>
      <c r="H48" s="8"/>
    </row>
    <row r="49" spans="4:8" ht="12.75">
      <c r="D49" s="13"/>
      <c r="E49" s="7" t="s">
        <v>242</v>
      </c>
      <c r="G49" s="8"/>
      <c r="H49" s="8"/>
    </row>
    <row r="50" spans="1:8" ht="12.75">
      <c r="A50" s="2">
        <v>24</v>
      </c>
      <c r="B50" s="2">
        <v>34</v>
      </c>
      <c r="C50" s="5" t="str">
        <f>IF($B50="","bye",CONCATENATE(VLOOKUP($B50,seznam!$A$2:$E$269,2)," (",VLOOKUP($B50,seznam!$A$2:$E$269,4),")"))</f>
        <v>Ševec Jakub (Nitra )</v>
      </c>
      <c r="D50" s="14"/>
      <c r="G50" s="8"/>
      <c r="H50" s="8"/>
    </row>
    <row r="51" spans="4:8" ht="12.75">
      <c r="D51" s="15"/>
      <c r="H51" s="22" t="s">
        <v>259</v>
      </c>
    </row>
    <row r="52" spans="1:8" ht="12.75">
      <c r="A52" s="2">
        <v>25</v>
      </c>
      <c r="B52" s="2">
        <v>26</v>
      </c>
      <c r="C52" s="5" t="str">
        <f>IF($B52="","bye",CONCATENATE(VLOOKUP($B52,seznam!$A$2:$E$269,2)," (",VLOOKUP($B52,seznam!$A$2:$E$269,4),")"))</f>
        <v>Zelinka Jakub (Košice )</v>
      </c>
      <c r="D52" s="12"/>
      <c r="H52" s="70"/>
    </row>
    <row r="53" spans="4:7" ht="12.75">
      <c r="D53" s="13"/>
      <c r="E53" s="5" t="s">
        <v>243</v>
      </c>
      <c r="G53" s="8"/>
    </row>
    <row r="54" spans="1:7" ht="12.75">
      <c r="A54" s="2">
        <v>26</v>
      </c>
      <c r="B54" s="2">
        <v>48</v>
      </c>
      <c r="C54" s="5" t="str">
        <f>IF($B54="","bye",CONCATENATE(VLOOKUP($B54,seznam!$A$2:$E$269,2)," (",VLOOKUP($B54,seznam!$A$2:$E$269,4),")"))</f>
        <v>Černota Filip (TTC Brandýs nad Labem)</v>
      </c>
      <c r="D54" s="14"/>
      <c r="E54" s="6"/>
      <c r="G54" s="8"/>
    </row>
    <row r="55" spans="4:7" ht="12.75">
      <c r="D55" s="15"/>
      <c r="E55" s="8"/>
      <c r="F55" s="9" t="s">
        <v>253</v>
      </c>
      <c r="G55" s="8"/>
    </row>
    <row r="56" spans="1:7" ht="12.75">
      <c r="A56" s="2">
        <v>27</v>
      </c>
      <c r="B56" s="2">
        <v>56</v>
      </c>
      <c r="C56" s="5" t="str">
        <f>IF($B56="","bye",CONCATENATE(VLOOKUP($B56,seznam!$A$2:$E$269,2)," (",VLOOKUP($B56,seznam!$A$2:$E$269,4),")"))</f>
        <v>Koldas Tomáš (Zlín )</v>
      </c>
      <c r="D56" s="12"/>
      <c r="E56" s="8"/>
      <c r="F56" s="6"/>
      <c r="G56" s="8"/>
    </row>
    <row r="57" spans="4:7" ht="12.75">
      <c r="D57" s="13"/>
      <c r="E57" s="7" t="s">
        <v>244</v>
      </c>
      <c r="F57" s="8"/>
      <c r="G57" s="8"/>
    </row>
    <row r="58" spans="1:7" ht="12.75">
      <c r="A58" s="2">
        <v>28</v>
      </c>
      <c r="B58" s="2">
        <v>22</v>
      </c>
      <c r="C58" s="5" t="str">
        <f>IF($B58="","bye",CONCATENATE(VLOOKUP($B58,seznam!$A$2:$E$269,2)," (",VLOOKUP($B58,seznam!$A$2:$E$269,4),")"))</f>
        <v>Eyal Baruch (Isreal )</v>
      </c>
      <c r="D58" s="14"/>
      <c r="F58" s="8"/>
      <c r="G58" s="8"/>
    </row>
    <row r="59" spans="4:7" ht="12.75">
      <c r="D59" s="15"/>
      <c r="F59" s="8"/>
      <c r="G59" s="10" t="s">
        <v>254</v>
      </c>
    </row>
    <row r="60" spans="1:6" ht="12.75">
      <c r="A60" s="2">
        <v>29</v>
      </c>
      <c r="B60" s="2">
        <v>40</v>
      </c>
      <c r="C60" s="5" t="str">
        <f>IF($B60="","bye",CONCATENATE(VLOOKUP($B60,seznam!$A$2:$E$269,2)," (",VLOOKUP($B60,seznam!$A$2:$E$269,4),")"))</f>
        <v>Reho René (STK Lokomotiva Košice)</v>
      </c>
      <c r="D60" s="12"/>
      <c r="F60" s="8"/>
    </row>
    <row r="61" spans="4:6" ht="12.75">
      <c r="D61" s="13"/>
      <c r="E61" s="5" t="s">
        <v>245</v>
      </c>
      <c r="F61" s="8"/>
    </row>
    <row r="62" spans="1:6" ht="12.75">
      <c r="A62" s="2">
        <v>30</v>
      </c>
      <c r="B62" s="2">
        <v>44</v>
      </c>
      <c r="C62" s="5" t="str">
        <f>IF($B62="","bye",CONCATENATE(VLOOKUP($B62,seznam!$A$2:$E$269,2)," (",VLOOKUP($B62,seznam!$A$2:$E$269,4),")"))</f>
        <v>Svitana Ján (Trenčianská teplá)</v>
      </c>
      <c r="D62" s="14"/>
      <c r="E62" s="6"/>
      <c r="F62" s="8"/>
    </row>
    <row r="63" spans="4:6" ht="12.75">
      <c r="D63" s="15"/>
      <c r="E63" s="8"/>
      <c r="F63" s="10" t="s">
        <v>254</v>
      </c>
    </row>
    <row r="64" spans="1:5" ht="12.75">
      <c r="A64" s="2">
        <v>31</v>
      </c>
      <c r="C64" s="5" t="str">
        <f>IF($B64="","bye",CONCATENATE(VLOOKUP($B64,seznam!$A$2:$E$269,2)," (",VLOOKUP($B64,seznam!$A$2:$E$269,4),")"))</f>
        <v>bye</v>
      </c>
      <c r="D64" s="12"/>
      <c r="E64" s="8"/>
    </row>
    <row r="65" spans="4:5" ht="12.75">
      <c r="D65" s="13"/>
      <c r="E65" s="7" t="s">
        <v>246</v>
      </c>
    </row>
    <row r="66" spans="1:4" ht="12.75">
      <c r="A66" s="2">
        <v>32</v>
      </c>
      <c r="B66" s="2">
        <v>58</v>
      </c>
      <c r="C66" s="5" t="str">
        <f>IF($B66="","bye",CONCATENATE(VLOOKUP($B66,seznam!$A$2:$E$269,2)," (",VLOOKUP($B66,seznam!$A$2:$E$269,4),")"))</f>
        <v>Lapčík Ondřej (Zlín )</v>
      </c>
      <c r="D66" s="14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85" zoomScaleNormal="75" zoomScaleSheetLayoutView="85" zoomScalePageLayoutView="0" workbookViewId="0" topLeftCell="A19">
      <selection activeCell="F64" sqref="F64"/>
    </sheetView>
  </sheetViews>
  <sheetFormatPr defaultColWidth="9.00390625" defaultRowHeight="12.75"/>
  <cols>
    <col min="1" max="1" width="4.125" style="2" bestFit="1" customWidth="1"/>
    <col min="2" max="2" width="5.125" style="2" customWidth="1"/>
    <col min="3" max="3" width="29.375" style="2" bestFit="1" customWidth="1"/>
    <col min="4" max="4" width="0.875" style="2" customWidth="1"/>
    <col min="5" max="8" width="19.375" style="2" customWidth="1"/>
    <col min="9" max="16384" width="9.125" style="2" customWidth="1"/>
  </cols>
  <sheetData>
    <row r="1" spans="2:8" ht="27" customHeight="1">
      <c r="B1" s="3" t="str">
        <f>úvod!$C$6</f>
        <v>Satellite Youth Table Tennis Tournament</v>
      </c>
      <c r="H1" s="77" t="s">
        <v>95</v>
      </c>
    </row>
    <row r="2" spans="2:8" ht="21" customHeight="1">
      <c r="B2" s="4" t="s">
        <v>82</v>
      </c>
      <c r="H2" s="20" t="str">
        <f>CONCATENATE("Útěcha ",úvod!$C$8)</f>
        <v>Útěcha YOUNGER CADET BOYS</v>
      </c>
    </row>
    <row r="3" spans="4:8" ht="15.75">
      <c r="D3" s="4"/>
      <c r="H3" s="74" t="str">
        <f>úvod!$C$7</f>
        <v>15.8. 2011</v>
      </c>
    </row>
    <row r="4" spans="1:3" ht="12.75">
      <c r="A4" s="2">
        <v>1</v>
      </c>
      <c r="B4" s="2">
        <v>54</v>
      </c>
      <c r="C4" s="5" t="str">
        <f>IF($B4="","bye",CONCATENATE(VLOOKUP($B4,seznam!$A$2:$E$269,2)," (",VLOOKUP($B4,seznam!$A$2:$E$269,4),")"))</f>
        <v>Nedbálek Michal (Zlín)</v>
      </c>
    </row>
    <row r="5" spans="4:5" ht="12.75">
      <c r="D5" s="13"/>
      <c r="E5" s="5" t="str">
        <f>'V-U 32'!P2</f>
        <v>Nedbálek Michal</v>
      </c>
    </row>
    <row r="6" spans="1:5" ht="12.75">
      <c r="A6" s="2">
        <v>2</v>
      </c>
      <c r="C6" s="5" t="str">
        <f>IF($B6="","bye",CONCATENATE(VLOOKUP($B6,seznam!$A$2:$E$269,2)," (",VLOOKUP($B6,seznam!$A$2:$E$269,4),")"))</f>
        <v>bye</v>
      </c>
      <c r="D6" s="14"/>
      <c r="E6" s="6" t="str">
        <f>'V-U 32'!R2</f>
        <v>3:0 (,,)</v>
      </c>
    </row>
    <row r="7" spans="4:6" ht="12.75">
      <c r="D7" s="15"/>
      <c r="E7" s="8"/>
      <c r="F7" s="9" t="str">
        <f>'V-U 32'!P19</f>
        <v>Nedbálek Michal</v>
      </c>
    </row>
    <row r="8" spans="1:6" ht="12.75">
      <c r="A8" s="2">
        <v>3</v>
      </c>
      <c r="B8" s="2">
        <v>36</v>
      </c>
      <c r="C8" s="5" t="str">
        <f>IF($B8="","bye",CONCATENATE(VLOOKUP($B8,seznam!$A$2:$E$269,2)," (",VLOOKUP($B8,seznam!$A$2:$E$269,4),")"))</f>
        <v>Viesner Vojtěch (SK Dobré)</v>
      </c>
      <c r="D8" s="12"/>
      <c r="E8" s="8"/>
      <c r="F8" s="6" t="str">
        <f>'V-U 32'!R19</f>
        <v>3:1 (2,-5,7,8)</v>
      </c>
    </row>
    <row r="9" spans="4:6" ht="12.75">
      <c r="D9" s="13"/>
      <c r="E9" s="7" t="str">
        <f>'V-U 32'!P3</f>
        <v>Lancz Vojtěch</v>
      </c>
      <c r="F9" s="8"/>
    </row>
    <row r="10" spans="1:6" ht="12.75">
      <c r="A10" s="2">
        <v>4</v>
      </c>
      <c r="B10" s="2">
        <v>9</v>
      </c>
      <c r="C10" s="5" t="str">
        <f>IF($B10="","bye",CONCATENATE(VLOOKUP($B10,seznam!$A$2:$E$269,2)," (",VLOOKUP($B10,seznam!$A$2:$E$269,4),")"))</f>
        <v>Lancz Vojtěch (Gasto Galanta)</v>
      </c>
      <c r="D10" s="14"/>
      <c r="E10" s="2" t="str">
        <f>'V-U 32'!R3</f>
        <v>3:0 (6,13,5)</v>
      </c>
      <c r="F10" s="8"/>
    </row>
    <row r="11" spans="4:7" ht="12.75">
      <c r="D11" s="15"/>
      <c r="F11" s="8"/>
      <c r="G11" s="9" t="str">
        <f>'V-U 32'!P28</f>
        <v>Nedbálek Michal</v>
      </c>
    </row>
    <row r="12" spans="1:7" ht="12.75">
      <c r="A12" s="2">
        <v>5</v>
      </c>
      <c r="B12" s="2">
        <v>5</v>
      </c>
      <c r="C12" s="5" t="str">
        <f>IF($B12="","bye",CONCATENATE(VLOOKUP($B12,seznam!$A$2:$E$269,2)," (",VLOOKUP($B12,seznam!$A$2:$E$269,4),")"))</f>
        <v>Vacek Jan (Břeclav)</v>
      </c>
      <c r="D12" s="12"/>
      <c r="F12" s="8"/>
      <c r="G12" s="6" t="str">
        <f>'V-U 32'!R28</f>
        <v>3:2 (7,-7,6,-6,9)</v>
      </c>
    </row>
    <row r="13" spans="4:7" ht="12.75">
      <c r="D13" s="13"/>
      <c r="E13" s="5" t="str">
        <f>'V-U 32'!P4</f>
        <v>Vacek Jan</v>
      </c>
      <c r="F13" s="8"/>
      <c r="G13" s="8"/>
    </row>
    <row r="14" spans="1:7" ht="12.75">
      <c r="A14" s="2">
        <v>6</v>
      </c>
      <c r="C14" s="5" t="str">
        <f>IF($B14="","bye",CONCATENATE(VLOOKUP($B14,seznam!$A$2:$E$269,2)," (",VLOOKUP($B14,seznam!$A$2:$E$269,4),")"))</f>
        <v>bye</v>
      </c>
      <c r="D14" s="14"/>
      <c r="E14" s="6" t="str">
        <f>'V-U 32'!R4</f>
        <v>3:0 (,,)</v>
      </c>
      <c r="F14" s="8"/>
      <c r="G14" s="8"/>
    </row>
    <row r="15" spans="4:7" ht="12.75">
      <c r="D15" s="15"/>
      <c r="E15" s="8"/>
      <c r="F15" s="10" t="str">
        <f>'V-U 32'!P20</f>
        <v>Vacek Jan</v>
      </c>
      <c r="G15" s="8"/>
    </row>
    <row r="16" spans="1:7" ht="12.75">
      <c r="A16" s="2">
        <v>7</v>
      </c>
      <c r="B16" s="2">
        <v>53</v>
      </c>
      <c r="C16" s="5" t="str">
        <f>IF($B16="","bye",CONCATENATE(VLOOKUP($B16,seznam!$A$2:$E$269,2)," (",VLOOKUP($B16,seznam!$A$2:$E$269,4),")"))</f>
        <v>Výmola Patrik (Zlín)</v>
      </c>
      <c r="D16" s="12"/>
      <c r="E16" s="8"/>
      <c r="F16" s="2" t="str">
        <f>'V-U 32'!R20</f>
        <v>3:1 (-5,8,7,5)</v>
      </c>
      <c r="G16" s="8"/>
    </row>
    <row r="17" spans="4:7" ht="12.75">
      <c r="D17" s="13"/>
      <c r="E17" s="7" t="str">
        <f>'V-U 32'!P5</f>
        <v>Jalovecký Marek</v>
      </c>
      <c r="G17" s="8"/>
    </row>
    <row r="18" spans="1:7" ht="12.75">
      <c r="A18" s="2">
        <v>8</v>
      </c>
      <c r="B18" s="2">
        <v>61</v>
      </c>
      <c r="C18" s="5" t="str">
        <f>IF($B18="","bye",CONCATENATE(VLOOKUP($B18,seznam!$A$2:$E$269,2)," (",VLOOKUP($B18,seznam!$A$2:$E$269,4),")"))</f>
        <v>Jalovecký Marek (STK Pezinok)</v>
      </c>
      <c r="D18" s="14"/>
      <c r="E18" s="2" t="str">
        <f>'V-U 32'!R5</f>
        <v>3:2 (11,9,-5,-10,7)</v>
      </c>
      <c r="G18" s="8"/>
    </row>
    <row r="19" spans="4:8" ht="12.75">
      <c r="D19" s="15"/>
      <c r="H19" s="21" t="str">
        <f>'V-U 32'!P33</f>
        <v>Nadav Lazimi</v>
      </c>
    </row>
    <row r="20" spans="1:8" ht="12.75">
      <c r="A20" s="2">
        <v>9</v>
      </c>
      <c r="B20" s="2">
        <v>43</v>
      </c>
      <c r="C20" s="5" t="str">
        <f>IF($B20="","bye",CONCATENATE(VLOOKUP($B20,seznam!$A$2:$E$269,2)," (",VLOOKUP($B20,seznam!$A$2:$E$269,4),")"))</f>
        <v>Petřík Filip (Trebišov)</v>
      </c>
      <c r="D20" s="12"/>
      <c r="F20" s="75"/>
      <c r="H20" s="76" t="str">
        <f>'V-U 32'!R33</f>
        <v>3:0 (10,8,7)</v>
      </c>
    </row>
    <row r="21" spans="4:8" ht="12.75">
      <c r="D21" s="13"/>
      <c r="E21" s="5" t="str">
        <f>'V-U 32'!P6</f>
        <v>Petřík Filip</v>
      </c>
      <c r="G21" s="8"/>
      <c r="H21" s="8"/>
    </row>
    <row r="22" spans="1:8" ht="12.75">
      <c r="A22" s="2">
        <v>10</v>
      </c>
      <c r="C22" s="5" t="str">
        <f>IF($B22="","bye",CONCATENATE(VLOOKUP($B22,seznam!$A$2:$E$269,2)," (",VLOOKUP($B22,seznam!$A$2:$E$269,4),")"))</f>
        <v>bye</v>
      </c>
      <c r="D22" s="14"/>
      <c r="E22" s="6" t="str">
        <f>'V-U 32'!R6</f>
        <v>3:0 (,,)</v>
      </c>
      <c r="G22" s="8"/>
      <c r="H22" s="8"/>
    </row>
    <row r="23" spans="4:8" ht="12.75">
      <c r="D23" s="15"/>
      <c r="E23" s="8"/>
      <c r="F23" s="9" t="str">
        <f>'V-U 32'!P21</f>
        <v>Nadav Lazimi</v>
      </c>
      <c r="G23" s="8"/>
      <c r="H23" s="8"/>
    </row>
    <row r="24" spans="1:8" ht="12.75">
      <c r="A24" s="2">
        <v>11</v>
      </c>
      <c r="B24" s="2">
        <v>55</v>
      </c>
      <c r="C24" s="5" t="str">
        <f>IF($B24="","bye",CONCATENATE(VLOOKUP($B24,seznam!$A$2:$E$269,2)," (",VLOOKUP($B24,seznam!$A$2:$E$269,4),")"))</f>
        <v>Strejček Karel (Zlín)</v>
      </c>
      <c r="D24" s="12"/>
      <c r="E24" s="8"/>
      <c r="F24" s="6" t="str">
        <f>'V-U 32'!R21</f>
        <v>3:1 (-6,8,7,9)</v>
      </c>
      <c r="G24" s="8"/>
      <c r="H24" s="8"/>
    </row>
    <row r="25" spans="4:8" ht="12.75">
      <c r="D25" s="13"/>
      <c r="E25" s="7" t="str">
        <f>'V-U 32'!P7</f>
        <v>Nadav Lazimi</v>
      </c>
      <c r="F25" s="8"/>
      <c r="G25" s="8"/>
      <c r="H25" s="8"/>
    </row>
    <row r="26" spans="1:8" ht="12.75">
      <c r="A26" s="2">
        <v>12</v>
      </c>
      <c r="B26" s="2">
        <v>20</v>
      </c>
      <c r="C26" s="5" t="str">
        <f>IF($B26="","bye",CONCATENATE(VLOOKUP($B26,seznam!$A$2:$E$269,2)," (",VLOOKUP($B26,seznam!$A$2:$E$269,4),")"))</f>
        <v>Nadav Lazimi (Israel )</v>
      </c>
      <c r="D26" s="14"/>
      <c r="E26" s="2" t="str">
        <f>'V-U 32'!R7</f>
        <v>3:0 (2,4,7)</v>
      </c>
      <c r="F26" s="8"/>
      <c r="G26" s="8"/>
      <c r="H26" s="8"/>
    </row>
    <row r="27" spans="4:8" ht="12.75">
      <c r="D27" s="15"/>
      <c r="F27" s="8"/>
      <c r="G27" s="10" t="str">
        <f>'V-U 32'!P29</f>
        <v>Nadav Lazimi</v>
      </c>
      <c r="H27" s="8"/>
    </row>
    <row r="28" spans="1:8" ht="12.75">
      <c r="A28" s="2">
        <v>13</v>
      </c>
      <c r="B28" s="2">
        <v>37</v>
      </c>
      <c r="C28" s="5" t="str">
        <f>IF($B28="","bye",CONCATENATE(VLOOKUP($B28,seznam!$A$2:$E$269,2)," (",VLOOKUP($B28,seznam!$A$2:$E$269,4),")"))</f>
        <v>Hrebačka Tadeáš (SKST Hodonín)</v>
      </c>
      <c r="D28" s="12"/>
      <c r="F28" s="8"/>
      <c r="G28" s="2" t="str">
        <f>'V-U 32'!R29</f>
        <v>3:1 (6,6,-8,6)</v>
      </c>
      <c r="H28" s="8"/>
    </row>
    <row r="29" spans="4:8" ht="12.75">
      <c r="D29" s="13"/>
      <c r="E29" s="5" t="str">
        <f>'V-U 32'!P8</f>
        <v>Hrebačka Tadeáš</v>
      </c>
      <c r="F29" s="8"/>
      <c r="H29" s="8"/>
    </row>
    <row r="30" spans="1:8" ht="12.75">
      <c r="A30" s="2">
        <v>14</v>
      </c>
      <c r="C30" s="5" t="str">
        <f>IF($B30="","bye",CONCATENATE(VLOOKUP($B30,seznam!$A$2:$E$269,2)," (",VLOOKUP($B30,seznam!$A$2:$E$269,4),")"))</f>
        <v>bye</v>
      </c>
      <c r="D30" s="14"/>
      <c r="E30" s="6" t="str">
        <f>'V-U 32'!R8</f>
        <v>3:0 (,,)</v>
      </c>
      <c r="F30" s="8"/>
      <c r="H30" s="8"/>
    </row>
    <row r="31" spans="4:8" ht="12.75">
      <c r="D31" s="15"/>
      <c r="E31" s="8"/>
      <c r="F31" s="10" t="str">
        <f>'V-U 32'!P22</f>
        <v>David Matan</v>
      </c>
      <c r="H31" s="8"/>
    </row>
    <row r="32" spans="1:8" ht="12.75">
      <c r="A32" s="2">
        <v>15</v>
      </c>
      <c r="B32" s="2">
        <v>62</v>
      </c>
      <c r="C32" s="5" t="str">
        <f>IF($B32="","bye",CONCATENATE(VLOOKUP($B32,seznam!$A$2:$E$269,2)," (",VLOOKUP($B32,seznam!$A$2:$E$269,4),")"))</f>
        <v>Baka Martin (STK Pezinok)</v>
      </c>
      <c r="D32" s="12"/>
      <c r="E32" s="8"/>
      <c r="F32" s="2" t="str">
        <f>'V-U 32'!R22</f>
        <v>3:0 (5,7,6)</v>
      </c>
      <c r="H32" s="8"/>
    </row>
    <row r="33" spans="4:8" ht="12.75">
      <c r="D33" s="13"/>
      <c r="E33" s="7" t="str">
        <f>'V-U 32'!P9</f>
        <v>David Matan</v>
      </c>
      <c r="H33" s="8"/>
    </row>
    <row r="34" spans="1:8" ht="12.75">
      <c r="A34" s="2">
        <v>16</v>
      </c>
      <c r="B34" s="2">
        <v>14</v>
      </c>
      <c r="C34" s="5" t="str">
        <f>IF($B34="","bye",CONCATENATE(VLOOKUP($B34,seznam!$A$2:$E$269,2)," (",VLOOKUP($B34,seznam!$A$2:$E$269,4),")"))</f>
        <v>David Matan (Israel )</v>
      </c>
      <c r="D34" s="14"/>
      <c r="E34" s="2" t="str">
        <f>'V-U 32'!R9</f>
        <v>3:0 (5,6,8)</v>
      </c>
      <c r="H34" s="8"/>
    </row>
    <row r="35" ht="12.75">
      <c r="H35" s="11" t="str">
        <f>'V-U 32'!P36</f>
        <v>Plhák Martin</v>
      </c>
    </row>
    <row r="36" spans="1:8" ht="12.75">
      <c r="A36" s="2">
        <v>17</v>
      </c>
      <c r="B36" s="2">
        <v>25</v>
      </c>
      <c r="C36" s="5" t="str">
        <f>IF($B36="","bye",CONCATENATE(VLOOKUP($B36,seznam!$A$2:$E$269,2)," (",VLOOKUP($B36,seznam!$A$2:$E$269,4),")"))</f>
        <v>Krpálek Martin (Komňa)</v>
      </c>
      <c r="H36" s="6" t="str">
        <f>'V-U 32'!R36</f>
        <v>3:1 (-3,5,5,2)</v>
      </c>
    </row>
    <row r="37" spans="4:8" ht="12.75">
      <c r="D37" s="13"/>
      <c r="E37" s="5" t="str">
        <f>'V-U 32'!P10</f>
        <v>Krpálek Martin</v>
      </c>
      <c r="H37" s="8"/>
    </row>
    <row r="38" spans="1:8" ht="12.75">
      <c r="A38" s="2">
        <v>18</v>
      </c>
      <c r="C38" s="5" t="str">
        <f>IF($B38="","bye",CONCATENATE(VLOOKUP($B38,seznam!$A$2:$E$269,2)," (",VLOOKUP($B38,seznam!$A$2:$E$269,4),")"))</f>
        <v>bye</v>
      </c>
      <c r="D38" s="14"/>
      <c r="E38" s="6" t="str">
        <f>'V-U 32'!R10</f>
        <v>3:0 (,,)</v>
      </c>
      <c r="H38" s="8"/>
    </row>
    <row r="39" spans="4:8" ht="12.75">
      <c r="D39" s="15"/>
      <c r="E39" s="8"/>
      <c r="F39" s="9" t="str">
        <f>'V-U 32'!P23</f>
        <v>Noam  Baltiansky</v>
      </c>
      <c r="H39" s="8"/>
    </row>
    <row r="40" spans="1:8" ht="12.75">
      <c r="A40" s="2">
        <v>19</v>
      </c>
      <c r="B40" s="2">
        <v>11</v>
      </c>
      <c r="C40" s="5" t="str">
        <f>IF($B40="","bye",CONCATENATE(VLOOKUP($B40,seznam!$A$2:$E$269,2)," (",VLOOKUP($B40,seznam!$A$2:$E$269,4),")"))</f>
        <v>Bartoš Martin  (Hluk)</v>
      </c>
      <c r="D40" s="12"/>
      <c r="E40" s="8"/>
      <c r="F40" s="6" t="str">
        <f>'V-U 32'!R23</f>
        <v>3:1 (9,-9,5,9)</v>
      </c>
      <c r="H40" s="8"/>
    </row>
    <row r="41" spans="4:8" ht="12.75">
      <c r="D41" s="13"/>
      <c r="E41" s="7" t="str">
        <f>'V-U 32'!P11</f>
        <v>Noam  Baltiansky</v>
      </c>
      <c r="F41" s="8"/>
      <c r="H41" s="8"/>
    </row>
    <row r="42" spans="1:8" ht="12.75">
      <c r="A42" s="2">
        <v>20</v>
      </c>
      <c r="B42" s="2">
        <v>21</v>
      </c>
      <c r="C42" s="5" t="str">
        <f>IF($B42="","bye",CONCATENATE(VLOOKUP($B42,seznam!$A$2:$E$269,2)," (",VLOOKUP($B42,seznam!$A$2:$E$269,4),")"))</f>
        <v>Noam  Baltiansky (Israel )</v>
      </c>
      <c r="D42" s="14"/>
      <c r="E42" s="2" t="str">
        <f>'V-U 32'!R11</f>
        <v>3:2 (7,-9,-6,8,3)</v>
      </c>
      <c r="F42" s="8"/>
      <c r="H42" s="8"/>
    </row>
    <row r="43" spans="4:8" ht="12.75">
      <c r="D43" s="15"/>
      <c r="F43" s="8"/>
      <c r="G43" s="9" t="str">
        <f>'V-U 32'!P30</f>
        <v>Noam  Baltiansky</v>
      </c>
      <c r="H43" s="8"/>
    </row>
    <row r="44" spans="1:8" ht="12.75">
      <c r="A44" s="2">
        <v>21</v>
      </c>
      <c r="B44" s="2">
        <v>51</v>
      </c>
      <c r="C44" s="5" t="str">
        <f>IF($B44="","bye",CONCATENATE(VLOOKUP($B44,seznam!$A$2:$E$269,2)," (",VLOOKUP($B44,seznam!$A$2:$E$269,4),")"))</f>
        <v>Siska Tomáš (TTC Majcichov)</v>
      </c>
      <c r="D44" s="12"/>
      <c r="F44" s="8"/>
      <c r="G44" s="6" t="str">
        <f>'V-U 32'!R30</f>
        <v>3:1 (6,-8,5,7)</v>
      </c>
      <c r="H44" s="8"/>
    </row>
    <row r="45" spans="4:8" ht="12.75">
      <c r="D45" s="13"/>
      <c r="E45" s="5" t="str">
        <f>'V-U 32'!P12</f>
        <v>Bareš David</v>
      </c>
      <c r="F45" s="8"/>
      <c r="G45" s="8"/>
      <c r="H45" s="8"/>
    </row>
    <row r="46" spans="1:8" ht="12.75">
      <c r="A46" s="2">
        <v>22</v>
      </c>
      <c r="B46" s="2">
        <v>42</v>
      </c>
      <c r="C46" s="5" t="str">
        <f>IF($B46="","bye",CONCATENATE(VLOOKUP($B46,seznam!$A$2:$E$269,2)," (",VLOOKUP($B46,seznam!$A$2:$E$269,4),")"))</f>
        <v>Bareš David (TJ Bystřice pod Hostýnem)</v>
      </c>
      <c r="D46" s="14"/>
      <c r="E46" s="6" t="str">
        <f>'V-U 32'!R12</f>
        <v>3:0 (11,9,7)</v>
      </c>
      <c r="F46" s="8"/>
      <c r="G46" s="8"/>
      <c r="H46" s="8"/>
    </row>
    <row r="47" spans="4:8" ht="12.75">
      <c r="D47" s="15"/>
      <c r="E47" s="8"/>
      <c r="F47" s="10" t="str">
        <f>'V-U 32'!P24</f>
        <v>Kostrián Matúš</v>
      </c>
      <c r="G47" s="8"/>
      <c r="H47" s="8"/>
    </row>
    <row r="48" spans="1:8" ht="12.75">
      <c r="A48" s="2">
        <v>23</v>
      </c>
      <c r="C48" s="5" t="str">
        <f>IF($B48="","bye",CONCATENATE(VLOOKUP($B48,seznam!$A$2:$E$269,2)," (",VLOOKUP($B48,seznam!$A$2:$E$269,4),")"))</f>
        <v>bye</v>
      </c>
      <c r="D48" s="12"/>
      <c r="E48" s="8"/>
      <c r="F48" s="2" t="str">
        <f>'V-U 32'!R24</f>
        <v>3:0 (6,4,8)</v>
      </c>
      <c r="G48" s="8"/>
      <c r="H48" s="8"/>
    </row>
    <row r="49" spans="4:8" ht="12.75">
      <c r="D49" s="13"/>
      <c r="E49" s="7" t="str">
        <f>'V-U 32'!P13</f>
        <v>Kostrián Matúš</v>
      </c>
      <c r="G49" s="8"/>
      <c r="H49" s="8"/>
    </row>
    <row r="50" spans="1:8" ht="12.75">
      <c r="A50" s="2">
        <v>24</v>
      </c>
      <c r="B50" s="2">
        <v>60</v>
      </c>
      <c r="C50" s="5" t="str">
        <f>IF($B50="","bye",CONCATENATE(VLOOKUP($B50,seznam!$A$2:$E$269,2)," (",VLOOKUP($B50,seznam!$A$2:$E$269,4),")"))</f>
        <v>Kostrián Matúš (STK Pezinok)</v>
      </c>
      <c r="D50" s="14"/>
      <c r="E50" s="2" t="str">
        <f>'V-U 32'!R13</f>
        <v>3:0 (0,0,0)</v>
      </c>
      <c r="G50" s="8"/>
      <c r="H50" s="8"/>
    </row>
    <row r="51" spans="4:8" ht="12.75">
      <c r="D51" s="15"/>
      <c r="H51" s="22" t="str">
        <f>'V-U 32'!P34</f>
        <v>Plhák Martin</v>
      </c>
    </row>
    <row r="52" spans="1:8" ht="12.75">
      <c r="A52" s="2">
        <v>25</v>
      </c>
      <c r="B52" s="2">
        <v>52</v>
      </c>
      <c r="C52" s="5" t="str">
        <f>IF($B52="","bye",CONCATENATE(VLOOKUP($B52,seznam!$A$2:$E$269,2)," (",VLOOKUP($B52,seznam!$A$2:$E$269,4),")"))</f>
        <v>Oharek David (Zlín)</v>
      </c>
      <c r="D52" s="12"/>
      <c r="H52" s="70" t="str">
        <f>'V-U 32'!R34</f>
        <v>3:1 (2,9,-10,8)</v>
      </c>
    </row>
    <row r="53" spans="4:7" ht="12.75">
      <c r="D53" s="13"/>
      <c r="E53" s="5" t="str">
        <f>'V-U 32'!P14</f>
        <v>Oharek David</v>
      </c>
      <c r="G53" s="8"/>
    </row>
    <row r="54" spans="1:7" ht="12.75">
      <c r="A54" s="2">
        <v>26</v>
      </c>
      <c r="B54" s="2">
        <v>30</v>
      </c>
      <c r="C54" s="5" t="str">
        <f>IF($B54="","bye",CONCATENATE(VLOOKUP($B54,seznam!$A$2:$E$269,2)," (",VLOOKUP($B54,seznam!$A$2:$E$269,4),")"))</f>
        <v>Trúchlik Jozef (MSK Čadca)</v>
      </c>
      <c r="D54" s="14"/>
      <c r="E54" s="6" t="str">
        <f>'V-U 32'!R14</f>
        <v>3:0 (5,8,4)</v>
      </c>
      <c r="G54" s="8"/>
    </row>
    <row r="55" spans="4:7" ht="12.75">
      <c r="D55" s="15"/>
      <c r="E55" s="8"/>
      <c r="F55" s="9" t="str">
        <f>'V-U 32'!P25</f>
        <v>Oharek David</v>
      </c>
      <c r="G55" s="8"/>
    </row>
    <row r="56" spans="1:7" ht="12.75">
      <c r="A56" s="2">
        <v>27</v>
      </c>
      <c r="B56" s="2">
        <v>45</v>
      </c>
      <c r="C56" s="5" t="str">
        <f>IF($B56="","bye",CONCATENATE(VLOOKUP($B56,seznam!$A$2:$E$269,2)," (",VLOOKUP($B56,seznam!$A$2:$E$269,4),")"))</f>
        <v>Feiler Marcel (Trenčianská Teplá)</v>
      </c>
      <c r="D56" s="12"/>
      <c r="E56" s="8"/>
      <c r="F56" s="6" t="str">
        <f>'V-U 32'!R25</f>
        <v>3:0 (3,4,7)</v>
      </c>
      <c r="G56" s="8"/>
    </row>
    <row r="57" spans="4:7" ht="12.75">
      <c r="D57" s="13"/>
      <c r="E57" s="7" t="str">
        <f>'V-U 32'!P15</f>
        <v>Feiler Marcel</v>
      </c>
      <c r="F57" s="8"/>
      <c r="G57" s="8"/>
    </row>
    <row r="58" spans="1:7" ht="12.75">
      <c r="A58" s="2">
        <v>28</v>
      </c>
      <c r="B58" s="2">
        <v>19</v>
      </c>
      <c r="C58" s="5" t="str">
        <f>IF($B58="","bye",CONCATENATE(VLOOKUP($B58,seznam!$A$2:$E$269,2)," (",VLOOKUP($B58,seznam!$A$2:$E$269,4),")"))</f>
        <v>Ivan Karpov (Israel )</v>
      </c>
      <c r="D58" s="14"/>
      <c r="E58" s="2" t="str">
        <f>'V-U 32'!R15</f>
        <v>3:0 (5,7,8)</v>
      </c>
      <c r="F58" s="8"/>
      <c r="G58" s="8"/>
    </row>
    <row r="59" spans="4:7" ht="12.75">
      <c r="D59" s="15"/>
      <c r="F59" s="8"/>
      <c r="G59" s="10" t="str">
        <f>'V-U 32'!P31</f>
        <v>Plhák Martin</v>
      </c>
    </row>
    <row r="60" spans="1:7" ht="12.75">
      <c r="A60" s="2">
        <v>29</v>
      </c>
      <c r="B60" s="2">
        <v>27</v>
      </c>
      <c r="C60" s="5" t="str">
        <f>IF($B60="","bye",CONCATENATE(VLOOKUP($B60,seznam!$A$2:$E$269,2)," (",VLOOKUP($B60,seznam!$A$2:$E$269,4),")"))</f>
        <v>Červinka Lukáš (KST Kroměříž)</v>
      </c>
      <c r="D60" s="12"/>
      <c r="F60" s="8"/>
      <c r="G60" s="2" t="str">
        <f>'V-U 32'!R31</f>
        <v>3:1 (4,6,-9,9)</v>
      </c>
    </row>
    <row r="61" spans="4:6" ht="12.75">
      <c r="D61" s="13"/>
      <c r="E61" s="5" t="str">
        <f>'V-U 32'!P16</f>
        <v>Miko Michal</v>
      </c>
      <c r="F61" s="8"/>
    </row>
    <row r="62" spans="1:6" ht="12.75">
      <c r="A62" s="2">
        <v>30</v>
      </c>
      <c r="B62" s="2">
        <v>23</v>
      </c>
      <c r="C62" s="5" t="str">
        <f>IF($B62="","bye",CONCATENATE(VLOOKUP($B62,seznam!$A$2:$E$269,2)," (",VLOOKUP($B62,seznam!$A$2:$E$269,4),")"))</f>
        <v>Miko Michal (Karlova Ves)</v>
      </c>
      <c r="D62" s="14"/>
      <c r="E62" s="6" t="str">
        <f>'V-U 32'!R16</f>
        <v>3:0 (9,8,7)</v>
      </c>
      <c r="F62" s="8"/>
    </row>
    <row r="63" spans="4:6" ht="12.75">
      <c r="D63" s="15"/>
      <c r="E63" s="8"/>
      <c r="F63" s="10" t="str">
        <f>'V-U 32'!P26</f>
        <v>Plhák Martin</v>
      </c>
    </row>
    <row r="64" spans="1:6" ht="12.75">
      <c r="A64" s="2">
        <v>31</v>
      </c>
      <c r="C64" s="5" t="str">
        <f>IF($B64="","bye",CONCATENATE(VLOOKUP($B64,seznam!$A$2:$E$269,2)," (",VLOOKUP($B64,seznam!$A$2:$E$269,4),")"))</f>
        <v>bye</v>
      </c>
      <c r="D64" s="12"/>
      <c r="E64" s="8"/>
      <c r="F64" s="2" t="str">
        <f>'V-U 32'!R26</f>
        <v>3:0 (3,4,4)</v>
      </c>
    </row>
    <row r="65" spans="4:5" ht="12.75">
      <c r="D65" s="13"/>
      <c r="E65" s="7" t="str">
        <f>'V-U 32'!P17</f>
        <v>Plhák Martin</v>
      </c>
    </row>
    <row r="66" spans="1:5" ht="12.75">
      <c r="A66" s="2">
        <v>32</v>
      </c>
      <c r="B66" s="2">
        <v>57</v>
      </c>
      <c r="C66" s="5" t="str">
        <f>IF($B66="","bye",CONCATENATE(VLOOKUP($B66,seznam!$A$2:$E$269,2)," (",VLOOKUP($B66,seznam!$A$2:$E$269,4),")"))</f>
        <v>Plhák Martin (Zlín )</v>
      </c>
      <c r="D66" s="14"/>
      <c r="E66" s="2" t="str">
        <f>'V-U 32'!R17</f>
        <v>3:0 (0,0,0)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6"/>
  <sheetViews>
    <sheetView zoomScale="85" zoomScaleNormal="85" zoomScalePageLayoutView="0" workbookViewId="0" topLeftCell="A1">
      <pane ySplit="1" topLeftCell="A2" activePane="bottomLeft" state="frozen"/>
      <selection pane="topLeft" activeCell="H52" sqref="H52"/>
      <selection pane="bottomLeft" activeCell="K35" sqref="K35"/>
    </sheetView>
  </sheetViews>
  <sheetFormatPr defaultColWidth="9.00390625" defaultRowHeight="12.75"/>
  <cols>
    <col min="1" max="1" width="22.875" style="2" bestFit="1" customWidth="1"/>
    <col min="2" max="2" width="4.625" style="2" bestFit="1" customWidth="1"/>
    <col min="3" max="3" width="15.125" style="2" bestFit="1" customWidth="1"/>
    <col min="4" max="4" width="19.625" style="2" bestFit="1" customWidth="1"/>
    <col min="5" max="5" width="4.625" style="2" bestFit="1" customWidth="1"/>
    <col min="6" max="6" width="16.00390625" style="2" bestFit="1" customWidth="1"/>
    <col min="7" max="7" width="19.625" style="2" bestFit="1" customWidth="1"/>
    <col min="8" max="12" width="5.25390625" style="2" customWidth="1"/>
    <col min="13" max="14" width="4.25390625" style="2" customWidth="1"/>
    <col min="15" max="15" width="4.625" style="2" bestFit="1" customWidth="1"/>
    <col min="16" max="16" width="5.625" style="2" customWidth="1"/>
    <col min="17" max="17" width="15.00390625" style="2" bestFit="1" customWidth="1"/>
    <col min="18" max="18" width="18.875" style="2" bestFit="1" customWidth="1"/>
    <col min="19" max="19" width="3.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6" t="s">
        <v>4</v>
      </c>
      <c r="I1" s="17" t="s">
        <v>5</v>
      </c>
      <c r="J1" s="17" t="s">
        <v>6</v>
      </c>
      <c r="K1" s="17" t="s">
        <v>7</v>
      </c>
      <c r="L1" s="18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2" t="str">
        <f>CONCATENATE("Útěcha ",úvod!$C$8," - 1.kolo")</f>
        <v>Útěcha YOUNGER CADET BOYS - 1.kolo</v>
      </c>
      <c r="B2" s="2">
        <f>útěcha!B4</f>
        <v>54</v>
      </c>
      <c r="C2" s="2" t="str">
        <f>IF($B2=0,"bye",VLOOKUP($B2,seznam!$A$2:$D$269,2))</f>
        <v>Nedbálek Michal</v>
      </c>
      <c r="D2" s="2" t="str">
        <f>IF($B2=0,"",VLOOKUP($B2,seznam!$A$2:$E$269,4))</f>
        <v>Zlín</v>
      </c>
      <c r="E2" s="2">
        <f>útěcha!$B$6</f>
        <v>0</v>
      </c>
      <c r="F2" s="2" t="str">
        <f>IF($E2=0,"bye",VLOOKUP($E2,seznam!$A$2:$D$269,2))</f>
        <v>bye</v>
      </c>
      <c r="G2" s="2">
        <f>IF($E2=0,"",VLOOKUP($E2,seznam!$A$2:$E$269,4))</f>
      </c>
      <c r="H2" s="64"/>
      <c r="I2" s="65"/>
      <c r="J2" s="65"/>
      <c r="K2" s="65"/>
      <c r="L2" s="66"/>
      <c r="M2" s="2">
        <v>3</v>
      </c>
      <c r="N2" s="2">
        <f aca="true" t="shared" si="0" ref="N2:N16">COUNTIF(T2:X2,"&lt;0")</f>
        <v>0</v>
      </c>
      <c r="O2" s="2">
        <f aca="true" t="shared" si="1" ref="O2:O17">IF(M2=N2,0,IF(M2&gt;N2,B2,E2))</f>
        <v>54</v>
      </c>
      <c r="P2" s="2" t="str">
        <f>IF($O2=0,"",VLOOKUP($O2,seznam!$A$2:$D$269,2))</f>
        <v>Nedbálek Michal</v>
      </c>
      <c r="Q2" s="2" t="str">
        <f aca="true" t="shared" si="2" ref="Q2:Q17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>3:0 (,,)</v>
      </c>
      <c r="R2" s="2" t="str">
        <f aca="true" t="shared" si="3" ref="R2:R17">IF(MAX(M2:N2)=3,Q2,"")</f>
        <v>3:0 (,,)</v>
      </c>
      <c r="S2" s="23"/>
      <c r="T2" s="23">
        <f aca="true" t="shared" si="4" ref="T2:T17">IF(H2="",0,IF(MID(H2,1,1)="-",-1,1))</f>
        <v>0</v>
      </c>
      <c r="U2" s="23">
        <f aca="true" t="shared" si="5" ref="U2:U17">IF(I2="",0,IF(MID(I2,1,1)="-",-1,1))</f>
        <v>0</v>
      </c>
      <c r="V2" s="23">
        <f aca="true" t="shared" si="6" ref="V2:V17">IF(J2="",0,IF(MID(J2,1,1)="-",-1,1))</f>
        <v>0</v>
      </c>
      <c r="W2" s="23">
        <f aca="true" t="shared" si="7" ref="W2:W17">IF(K2="",0,IF(MID(K2,1,1)="-",-1,1))</f>
        <v>0</v>
      </c>
      <c r="X2" s="23">
        <f aca="true" t="shared" si="8" ref="X2:X17">IF(L2="",0,IF(MID(L2,1,1)="-",-1,1))</f>
        <v>0</v>
      </c>
    </row>
    <row r="3" spans="1:24" ht="12.75">
      <c r="A3" s="2" t="str">
        <f>CONCATENATE("Útěcha ",úvod!$C$8," - 1.kolo")</f>
        <v>Útěcha YOUNGER CADET BOYS - 1.kolo</v>
      </c>
      <c r="B3" s="2">
        <f>útěcha!B8</f>
        <v>36</v>
      </c>
      <c r="C3" s="2" t="str">
        <f>IF($B3=0,"bye",VLOOKUP($B3,seznam!$A$2:$D$269,2))</f>
        <v>Viesner Vojtěch</v>
      </c>
      <c r="D3" s="2" t="str">
        <f>IF($B3=0,"",VLOOKUP($B3,seznam!$A$2:$E$269,4))</f>
        <v>SK Dobré</v>
      </c>
      <c r="E3" s="2">
        <f>útěcha!$B$10</f>
        <v>9</v>
      </c>
      <c r="F3" s="2" t="str">
        <f>IF($E3=0,"bye",VLOOKUP($E3,seznam!$A$2:$D$269,2))</f>
        <v>Lancz Vojtěch</v>
      </c>
      <c r="G3" s="2" t="str">
        <f>IF($E3=0,"",VLOOKUP($E3,seznam!$A$2:$E$269,4))</f>
        <v>Gasto Galanta</v>
      </c>
      <c r="H3" s="67" t="s">
        <v>221</v>
      </c>
      <c r="I3" s="68" t="s">
        <v>217</v>
      </c>
      <c r="J3" s="68" t="s">
        <v>224</v>
      </c>
      <c r="K3" s="68"/>
      <c r="L3" s="69"/>
      <c r="M3" s="2">
        <f aca="true" t="shared" si="9" ref="M3:M17">COUNTIF(T3:X3,"&gt;0")</f>
        <v>0</v>
      </c>
      <c r="N3" s="2">
        <f t="shared" si="0"/>
        <v>3</v>
      </c>
      <c r="O3" s="2">
        <f t="shared" si="1"/>
        <v>9</v>
      </c>
      <c r="P3" s="2" t="str">
        <f>IF($O3=0,"",VLOOKUP($O3,seznam!$A$2:$D$269,2))</f>
        <v>Lancz Vojtěch</v>
      </c>
      <c r="Q3" s="2" t="str">
        <f t="shared" si="2"/>
        <v>3:0 (6,13,5)</v>
      </c>
      <c r="R3" s="2" t="str">
        <f t="shared" si="3"/>
        <v>3:0 (6,13,5)</v>
      </c>
      <c r="T3" s="23">
        <f t="shared" si="4"/>
        <v>-1</v>
      </c>
      <c r="U3" s="23">
        <f t="shared" si="5"/>
        <v>-1</v>
      </c>
      <c r="V3" s="23">
        <f t="shared" si="6"/>
        <v>-1</v>
      </c>
      <c r="W3" s="23">
        <f t="shared" si="7"/>
        <v>0</v>
      </c>
      <c r="X3" s="23">
        <f t="shared" si="8"/>
        <v>0</v>
      </c>
    </row>
    <row r="4" spans="1:24" ht="12.75">
      <c r="A4" s="2" t="str">
        <f>CONCATENATE("Útěcha ",úvod!$C$8," - 1.kolo")</f>
        <v>Útěcha YOUNGER CADET BOYS - 1.kolo</v>
      </c>
      <c r="B4" s="2">
        <f>útěcha!B12</f>
        <v>5</v>
      </c>
      <c r="C4" s="2" t="str">
        <f>IF($B4=0,"bye",VLOOKUP($B4,seznam!$A$2:$D$269,2))</f>
        <v>Vacek Jan</v>
      </c>
      <c r="D4" s="2" t="str">
        <f>IF($B4=0,"",VLOOKUP($B4,seznam!$A$2:$E$269,4))</f>
        <v>Břeclav</v>
      </c>
      <c r="E4" s="2">
        <f>útěcha!$B$14</f>
        <v>0</v>
      </c>
      <c r="F4" s="2" t="str">
        <f>IF($E4=0,"bye",VLOOKUP($E4,seznam!$A$2:$D$269,2))</f>
        <v>bye</v>
      </c>
      <c r="G4" s="2">
        <f>IF($E4=0,"",VLOOKUP($E4,seznam!$A$2:$E$269,4))</f>
      </c>
      <c r="H4" s="67"/>
      <c r="I4" s="68"/>
      <c r="J4" s="68"/>
      <c r="K4" s="68"/>
      <c r="L4" s="69"/>
      <c r="M4" s="2">
        <v>3</v>
      </c>
      <c r="N4" s="2">
        <f t="shared" si="0"/>
        <v>0</v>
      </c>
      <c r="O4" s="2">
        <f t="shared" si="1"/>
        <v>5</v>
      </c>
      <c r="P4" s="2" t="str">
        <f>IF($O4=0,"",VLOOKUP($O4,seznam!$A$2:$D$269,2))</f>
        <v>Vacek Jan</v>
      </c>
      <c r="Q4" s="2" t="str">
        <f t="shared" si="2"/>
        <v>3:0 (,,)</v>
      </c>
      <c r="R4" s="2" t="str">
        <f t="shared" si="3"/>
        <v>3:0 (,,)</v>
      </c>
      <c r="T4" s="23">
        <f t="shared" si="4"/>
        <v>0</v>
      </c>
      <c r="U4" s="23">
        <f t="shared" si="5"/>
        <v>0</v>
      </c>
      <c r="V4" s="23">
        <f t="shared" si="6"/>
        <v>0</v>
      </c>
      <c r="W4" s="23">
        <f t="shared" si="7"/>
        <v>0</v>
      </c>
      <c r="X4" s="23">
        <f t="shared" si="8"/>
        <v>0</v>
      </c>
    </row>
    <row r="5" spans="1:24" ht="12.75">
      <c r="A5" s="2" t="str">
        <f>CONCATENATE("Útěcha ",úvod!$C$8," - 1.kolo")</f>
        <v>Útěcha YOUNGER CADET BOYS - 1.kolo</v>
      </c>
      <c r="B5" s="2">
        <f>útěcha!B16</f>
        <v>53</v>
      </c>
      <c r="C5" s="2" t="str">
        <f>IF($B5=0,"bye",VLOOKUP($B5,seznam!$A$2:$D$269,2))</f>
        <v>Výmola Patrik</v>
      </c>
      <c r="D5" s="2" t="str">
        <f>IF($B5=0,"",VLOOKUP($B5,seznam!$A$2:$E$269,4))</f>
        <v>Zlín</v>
      </c>
      <c r="E5" s="2">
        <f>útěcha!$B$18</f>
        <v>61</v>
      </c>
      <c r="F5" s="2" t="str">
        <f>IF($E5=0,"bye",VLOOKUP($E5,seznam!$A$2:$D$269,2))</f>
        <v>Jalovecký Marek</v>
      </c>
      <c r="G5" s="2" t="str">
        <f>IF($E5=0,"",VLOOKUP($E5,seznam!$A$2:$E$269,4))</f>
        <v>STK Pezinok</v>
      </c>
      <c r="H5" s="67" t="s">
        <v>223</v>
      </c>
      <c r="I5" s="68" t="s">
        <v>207</v>
      </c>
      <c r="J5" s="68" t="s">
        <v>211</v>
      </c>
      <c r="K5" s="68" t="s">
        <v>222</v>
      </c>
      <c r="L5" s="69" t="s">
        <v>218</v>
      </c>
      <c r="M5" s="2">
        <f t="shared" si="9"/>
        <v>2</v>
      </c>
      <c r="N5" s="2">
        <f t="shared" si="0"/>
        <v>3</v>
      </c>
      <c r="O5" s="2">
        <f t="shared" si="1"/>
        <v>61</v>
      </c>
      <c r="P5" s="2" t="str">
        <f>IF($O5=0,"",VLOOKUP($O5,seznam!$A$2:$D$269,2))</f>
        <v>Jalovecký Marek</v>
      </c>
      <c r="Q5" s="2" t="str">
        <f t="shared" si="2"/>
        <v>3:2 (11,9,-5,-10,7)</v>
      </c>
      <c r="R5" s="2" t="str">
        <f t="shared" si="3"/>
        <v>3:2 (11,9,-5,-10,7)</v>
      </c>
      <c r="T5" s="23">
        <f t="shared" si="4"/>
        <v>-1</v>
      </c>
      <c r="U5" s="23">
        <f t="shared" si="5"/>
        <v>-1</v>
      </c>
      <c r="V5" s="23">
        <f t="shared" si="6"/>
        <v>1</v>
      </c>
      <c r="W5" s="23">
        <f t="shared" si="7"/>
        <v>1</v>
      </c>
      <c r="X5" s="23">
        <f t="shared" si="8"/>
        <v>-1</v>
      </c>
    </row>
    <row r="6" spans="1:24" ht="12.75">
      <c r="A6" s="2" t="str">
        <f>CONCATENATE("Útěcha ",úvod!$C$8," - 1.kolo")</f>
        <v>Útěcha YOUNGER CADET BOYS - 1.kolo</v>
      </c>
      <c r="B6" s="2">
        <f>útěcha!B20</f>
        <v>43</v>
      </c>
      <c r="C6" s="2" t="str">
        <f>IF($B6=0,"bye",VLOOKUP($B6,seznam!$A$2:$D$269,2))</f>
        <v>Petřík Filip</v>
      </c>
      <c r="D6" s="2" t="str">
        <f>IF($B6=0,"",VLOOKUP($B6,seznam!$A$2:$E$269,4))</f>
        <v>Trebišov</v>
      </c>
      <c r="E6" s="2">
        <f>útěcha!$B$22</f>
        <v>0</v>
      </c>
      <c r="F6" s="2" t="str">
        <f>IF($E6=0,"bye",VLOOKUP($E6,seznam!$A$2:$D$269,2))</f>
        <v>bye</v>
      </c>
      <c r="G6" s="2">
        <f>IF($E6=0,"",VLOOKUP($E6,seznam!$A$2:$E$269,4))</f>
      </c>
      <c r="H6" s="67"/>
      <c r="I6" s="68"/>
      <c r="J6" s="68"/>
      <c r="K6" s="68"/>
      <c r="L6" s="69"/>
      <c r="M6" s="2">
        <v>3</v>
      </c>
      <c r="N6" s="2">
        <f t="shared" si="0"/>
        <v>0</v>
      </c>
      <c r="O6" s="2">
        <f t="shared" si="1"/>
        <v>43</v>
      </c>
      <c r="P6" s="2" t="str">
        <f>IF($O6=0,"",VLOOKUP($O6,seznam!$A$2:$D$269,2))</f>
        <v>Petřík Filip</v>
      </c>
      <c r="Q6" s="2" t="str">
        <f t="shared" si="2"/>
        <v>3:0 (,,)</v>
      </c>
      <c r="R6" s="2" t="str">
        <f t="shared" si="3"/>
        <v>3:0 (,,)</v>
      </c>
      <c r="T6" s="23">
        <f t="shared" si="4"/>
        <v>0</v>
      </c>
      <c r="U6" s="23">
        <f t="shared" si="5"/>
        <v>0</v>
      </c>
      <c r="V6" s="23">
        <f t="shared" si="6"/>
        <v>0</v>
      </c>
      <c r="W6" s="23">
        <f t="shared" si="7"/>
        <v>0</v>
      </c>
      <c r="X6" s="23">
        <f t="shared" si="8"/>
        <v>0</v>
      </c>
    </row>
    <row r="7" spans="1:24" ht="12.75">
      <c r="A7" s="2" t="str">
        <f>CONCATENATE("Útěcha ",úvod!$C$8," - 1.kolo")</f>
        <v>Útěcha YOUNGER CADET BOYS - 1.kolo</v>
      </c>
      <c r="B7" s="2">
        <f>útěcha!B24</f>
        <v>55</v>
      </c>
      <c r="C7" s="2" t="str">
        <f>IF($B7=0,"bye",VLOOKUP($B7,seznam!$A$2:$D$269,2))</f>
        <v>Strejček Karel</v>
      </c>
      <c r="D7" s="2" t="str">
        <f>IF($B7=0,"",VLOOKUP($B7,seznam!$A$2:$E$269,4))</f>
        <v>Zlín</v>
      </c>
      <c r="E7" s="2">
        <f>útěcha!$B$26</f>
        <v>20</v>
      </c>
      <c r="F7" s="2" t="str">
        <f>IF($E7=0,"bye",VLOOKUP($E7,seznam!$A$2:$D$269,2))</f>
        <v>Nadav Lazimi</v>
      </c>
      <c r="G7" s="2" t="str">
        <f>IF($E7=0,"",VLOOKUP($E7,seznam!$A$2:$E$269,4))</f>
        <v>Israel </v>
      </c>
      <c r="H7" s="67" t="s">
        <v>229</v>
      </c>
      <c r="I7" s="68" t="s">
        <v>225</v>
      </c>
      <c r="J7" s="68" t="s">
        <v>218</v>
      </c>
      <c r="K7" s="68"/>
      <c r="L7" s="69"/>
      <c r="M7" s="2">
        <f t="shared" si="9"/>
        <v>0</v>
      </c>
      <c r="N7" s="2">
        <f t="shared" si="0"/>
        <v>3</v>
      </c>
      <c r="O7" s="2">
        <f t="shared" si="1"/>
        <v>20</v>
      </c>
      <c r="P7" s="2" t="str">
        <f>IF($O7=0,"",VLOOKUP($O7,seznam!$A$2:$D$269,2))</f>
        <v>Nadav Lazimi</v>
      </c>
      <c r="Q7" s="2" t="str">
        <f t="shared" si="2"/>
        <v>3:0 (2,4,7)</v>
      </c>
      <c r="R7" s="2" t="str">
        <f t="shared" si="3"/>
        <v>3:0 (2,4,7)</v>
      </c>
      <c r="T7" s="23">
        <f t="shared" si="4"/>
        <v>-1</v>
      </c>
      <c r="U7" s="23">
        <f t="shared" si="5"/>
        <v>-1</v>
      </c>
      <c r="V7" s="23">
        <f t="shared" si="6"/>
        <v>-1</v>
      </c>
      <c r="W7" s="23">
        <f t="shared" si="7"/>
        <v>0</v>
      </c>
      <c r="X7" s="23">
        <f t="shared" si="8"/>
        <v>0</v>
      </c>
    </row>
    <row r="8" spans="1:24" ht="12.75">
      <c r="A8" s="2" t="str">
        <f>CONCATENATE("Útěcha ",úvod!$C$8," - 1.kolo")</f>
        <v>Útěcha YOUNGER CADET BOYS - 1.kolo</v>
      </c>
      <c r="B8" s="2">
        <f>útěcha!B28</f>
        <v>37</v>
      </c>
      <c r="C8" s="2" t="str">
        <f>IF($B8=0,"bye",VLOOKUP($B8,seznam!$A$2:$D$269,2))</f>
        <v>Hrebačka Tadeáš</v>
      </c>
      <c r="D8" s="2" t="str">
        <f>IF($B8=0,"",VLOOKUP($B8,seznam!$A$2:$E$269,4))</f>
        <v>SKST Hodonín</v>
      </c>
      <c r="E8" s="2">
        <f>útěcha!$B$30</f>
        <v>0</v>
      </c>
      <c r="F8" s="2" t="str">
        <f>IF($E8=0,"bye",VLOOKUP($E8,seznam!$A$2:$D$269,2))</f>
        <v>bye</v>
      </c>
      <c r="G8" s="2">
        <f>IF($E8=0,"",VLOOKUP($E8,seznam!$A$2:$E$269,4))</f>
      </c>
      <c r="H8" s="67"/>
      <c r="I8" s="68"/>
      <c r="J8" s="68"/>
      <c r="K8" s="68"/>
      <c r="L8" s="69"/>
      <c r="M8" s="2">
        <v>3</v>
      </c>
      <c r="N8" s="2">
        <f t="shared" si="0"/>
        <v>0</v>
      </c>
      <c r="O8" s="2">
        <f t="shared" si="1"/>
        <v>37</v>
      </c>
      <c r="P8" s="2" t="str">
        <f>IF($O8=0,"",VLOOKUP($O8,seznam!$A$2:$D$269,2))</f>
        <v>Hrebačka Tadeáš</v>
      </c>
      <c r="Q8" s="2" t="str">
        <f t="shared" si="2"/>
        <v>3:0 (,,)</v>
      </c>
      <c r="R8" s="2" t="str">
        <f t="shared" si="3"/>
        <v>3:0 (,,)</v>
      </c>
      <c r="T8" s="23">
        <f t="shared" si="4"/>
        <v>0</v>
      </c>
      <c r="U8" s="23">
        <f t="shared" si="5"/>
        <v>0</v>
      </c>
      <c r="V8" s="23">
        <f t="shared" si="6"/>
        <v>0</v>
      </c>
      <c r="W8" s="23">
        <f t="shared" si="7"/>
        <v>0</v>
      </c>
      <c r="X8" s="23">
        <f t="shared" si="8"/>
        <v>0</v>
      </c>
    </row>
    <row r="9" spans="1:24" ht="12.75">
      <c r="A9" s="2" t="str">
        <f>CONCATENATE("Útěcha ",úvod!$C$8," - 1.kolo")</f>
        <v>Útěcha YOUNGER CADET BOYS - 1.kolo</v>
      </c>
      <c r="B9" s="2">
        <f>útěcha!B32</f>
        <v>62</v>
      </c>
      <c r="C9" s="2" t="str">
        <f>IF($B9=0,"bye",VLOOKUP($B9,seznam!$A$2:$D$269,2))</f>
        <v>Baka Martin</v>
      </c>
      <c r="D9" s="2" t="str">
        <f>IF($B9=0,"",VLOOKUP($B9,seznam!$A$2:$E$269,4))</f>
        <v>STK Pezinok</v>
      </c>
      <c r="E9" s="2">
        <f>útěcha!$B$34</f>
        <v>14</v>
      </c>
      <c r="F9" s="2" t="str">
        <f>IF($E9=0,"bye",VLOOKUP($E9,seznam!$A$2:$D$269,2))</f>
        <v>David Matan</v>
      </c>
      <c r="G9" s="2" t="str">
        <f>IF($E9=0,"",VLOOKUP($E9,seznam!$A$2:$E$269,4))</f>
        <v>Israel </v>
      </c>
      <c r="H9" s="67" t="s">
        <v>224</v>
      </c>
      <c r="I9" s="68" t="s">
        <v>221</v>
      </c>
      <c r="J9" s="68" t="s">
        <v>215</v>
      </c>
      <c r="K9" s="68"/>
      <c r="L9" s="69"/>
      <c r="M9" s="2">
        <f t="shared" si="9"/>
        <v>0</v>
      </c>
      <c r="N9" s="2">
        <f t="shared" si="0"/>
        <v>3</v>
      </c>
      <c r="O9" s="2">
        <f t="shared" si="1"/>
        <v>14</v>
      </c>
      <c r="P9" s="2" t="str">
        <f>IF($O9=0,"",VLOOKUP($O9,seznam!$A$2:$D$269,2))</f>
        <v>David Matan</v>
      </c>
      <c r="Q9" s="2" t="str">
        <f t="shared" si="2"/>
        <v>3:0 (5,6,8)</v>
      </c>
      <c r="R9" s="2" t="str">
        <f t="shared" si="3"/>
        <v>3:0 (5,6,8)</v>
      </c>
      <c r="T9" s="23">
        <f t="shared" si="4"/>
        <v>-1</v>
      </c>
      <c r="U9" s="23">
        <f t="shared" si="5"/>
        <v>-1</v>
      </c>
      <c r="V9" s="23">
        <f t="shared" si="6"/>
        <v>-1</v>
      </c>
      <c r="W9" s="23">
        <f t="shared" si="7"/>
        <v>0</v>
      </c>
      <c r="X9" s="23">
        <f t="shared" si="8"/>
        <v>0</v>
      </c>
    </row>
    <row r="10" spans="1:24" ht="12.75">
      <c r="A10" s="2" t="str">
        <f>CONCATENATE("Útěcha ",úvod!$C$8," - 1.kolo")</f>
        <v>Útěcha YOUNGER CADET BOYS - 1.kolo</v>
      </c>
      <c r="B10" s="2">
        <f>útěcha!B36</f>
        <v>25</v>
      </c>
      <c r="C10" s="2" t="str">
        <f>IF($B10=0,"bye",VLOOKUP($B10,seznam!$A$2:$D$269,2))</f>
        <v>Krpálek Martin</v>
      </c>
      <c r="D10" s="2" t="str">
        <f>IF($B10=0,"",VLOOKUP($B10,seznam!$A$2:$E$269,4))</f>
        <v>Komňa</v>
      </c>
      <c r="E10" s="2">
        <f>útěcha!$B$38</f>
        <v>0</v>
      </c>
      <c r="F10" s="2" t="str">
        <f>IF($E10=0,"bye",VLOOKUP($E10,seznam!$A$2:$D$269,2))</f>
        <v>bye</v>
      </c>
      <c r="G10" s="2">
        <f>IF($E10=0,"",VLOOKUP($E10,seznam!$A$2:$E$269,4))</f>
      </c>
      <c r="H10" s="67"/>
      <c r="I10" s="68"/>
      <c r="J10" s="68"/>
      <c r="K10" s="68"/>
      <c r="L10" s="69"/>
      <c r="M10" s="2">
        <v>3</v>
      </c>
      <c r="N10" s="2">
        <f t="shared" si="0"/>
        <v>0</v>
      </c>
      <c r="O10" s="2">
        <f t="shared" si="1"/>
        <v>25</v>
      </c>
      <c r="P10" s="2" t="str">
        <f>IF($O10=0,"",VLOOKUP($O10,seznam!$A$2:$D$269,2))</f>
        <v>Krpálek Martin</v>
      </c>
      <c r="Q10" s="2" t="str">
        <f t="shared" si="2"/>
        <v>3:0 (,,)</v>
      </c>
      <c r="R10" s="2" t="str">
        <f t="shared" si="3"/>
        <v>3:0 (,,)</v>
      </c>
      <c r="T10" s="23">
        <f t="shared" si="4"/>
        <v>0</v>
      </c>
      <c r="U10" s="23">
        <f t="shared" si="5"/>
        <v>0</v>
      </c>
      <c r="V10" s="23">
        <f t="shared" si="6"/>
        <v>0</v>
      </c>
      <c r="W10" s="23">
        <f t="shared" si="7"/>
        <v>0</v>
      </c>
      <c r="X10" s="23">
        <f t="shared" si="8"/>
        <v>0</v>
      </c>
    </row>
    <row r="11" spans="1:24" ht="12.75">
      <c r="A11" s="2" t="str">
        <f>CONCATENATE("Útěcha ",úvod!$C$8," - 1.kolo")</f>
        <v>Útěcha YOUNGER CADET BOYS - 1.kolo</v>
      </c>
      <c r="B11" s="2">
        <f>útěcha!B40</f>
        <v>11</v>
      </c>
      <c r="C11" s="2" t="str">
        <f>IF($B11=0,"bye",VLOOKUP($B11,seznam!$A$2:$D$269,2))</f>
        <v>Bartoš Martin </v>
      </c>
      <c r="D11" s="2" t="str">
        <f>IF($B11=0,"",VLOOKUP($B11,seznam!$A$2:$E$269,4))</f>
        <v>Hluk</v>
      </c>
      <c r="E11" s="2">
        <f>útěcha!$B$42</f>
        <v>21</v>
      </c>
      <c r="F11" s="2" t="str">
        <f>IF($E11=0,"bye",VLOOKUP($E11,seznam!$A$2:$D$269,2))</f>
        <v>Noam  Baltiansky</v>
      </c>
      <c r="G11" s="2" t="str">
        <f>IF($E11=0,"",VLOOKUP($E11,seznam!$A$2:$E$269,4))</f>
        <v>Israel </v>
      </c>
      <c r="H11" s="67" t="s">
        <v>218</v>
      </c>
      <c r="I11" s="68" t="s">
        <v>213</v>
      </c>
      <c r="J11" s="68" t="s">
        <v>210</v>
      </c>
      <c r="K11" s="68" t="s">
        <v>215</v>
      </c>
      <c r="L11" s="69" t="s">
        <v>228</v>
      </c>
      <c r="M11" s="2">
        <f t="shared" si="9"/>
        <v>2</v>
      </c>
      <c r="N11" s="2">
        <f t="shared" si="0"/>
        <v>3</v>
      </c>
      <c r="O11" s="2">
        <f t="shared" si="1"/>
        <v>21</v>
      </c>
      <c r="P11" s="2" t="str">
        <f>IF($O11=0,"",VLOOKUP($O11,seznam!$A$2:$D$269,2))</f>
        <v>Noam  Baltiansky</v>
      </c>
      <c r="Q11" s="2" t="str">
        <f t="shared" si="2"/>
        <v>3:2 (7,-9,-6,8,3)</v>
      </c>
      <c r="R11" s="2" t="str">
        <f t="shared" si="3"/>
        <v>3:2 (7,-9,-6,8,3)</v>
      </c>
      <c r="T11" s="23">
        <f t="shared" si="4"/>
        <v>-1</v>
      </c>
      <c r="U11" s="23">
        <f t="shared" si="5"/>
        <v>1</v>
      </c>
      <c r="V11" s="23">
        <f t="shared" si="6"/>
        <v>1</v>
      </c>
      <c r="W11" s="23">
        <f t="shared" si="7"/>
        <v>-1</v>
      </c>
      <c r="X11" s="23">
        <f t="shared" si="8"/>
        <v>-1</v>
      </c>
    </row>
    <row r="12" spans="1:24" ht="12.75">
      <c r="A12" s="2" t="str">
        <f>CONCATENATE("Útěcha ",úvod!$C$8," - 1.kolo")</f>
        <v>Útěcha YOUNGER CADET BOYS - 1.kolo</v>
      </c>
      <c r="B12" s="2">
        <f>útěcha!B44</f>
        <v>51</v>
      </c>
      <c r="C12" s="2" t="str">
        <f>IF($B12=0,"bye",VLOOKUP($B12,seznam!$A$2:$D$269,2))</f>
        <v>Siska Tomáš</v>
      </c>
      <c r="D12" s="2" t="str">
        <f>IF($B12=0,"",VLOOKUP($B12,seznam!$A$2:$E$269,4))</f>
        <v>TTC Majcichov</v>
      </c>
      <c r="E12" s="2">
        <f>útěcha!$B$46</f>
        <v>42</v>
      </c>
      <c r="F12" s="2" t="str">
        <f>IF($E12=0,"bye",VLOOKUP($E12,seznam!$A$2:$D$269,2))</f>
        <v>Bareš David</v>
      </c>
      <c r="G12" s="2" t="str">
        <f>IF($E12=0,"",VLOOKUP($E12,seznam!$A$2:$E$269,4))</f>
        <v>TJ Bystřice pod Hostýnem</v>
      </c>
      <c r="H12" s="67" t="s">
        <v>223</v>
      </c>
      <c r="I12" s="68" t="s">
        <v>207</v>
      </c>
      <c r="J12" s="68" t="s">
        <v>218</v>
      </c>
      <c r="K12" s="68"/>
      <c r="L12" s="69"/>
      <c r="M12" s="2">
        <f t="shared" si="9"/>
        <v>0</v>
      </c>
      <c r="N12" s="2">
        <v>3</v>
      </c>
      <c r="O12" s="2">
        <f t="shared" si="1"/>
        <v>42</v>
      </c>
      <c r="P12" s="2" t="str">
        <f>IF($O12=0,"",VLOOKUP($O12,seznam!$A$2:$D$269,2))</f>
        <v>Bareš David</v>
      </c>
      <c r="Q12" s="2" t="str">
        <f t="shared" si="2"/>
        <v>3:0 (11,9,7)</v>
      </c>
      <c r="R12" s="2" t="str">
        <f t="shared" si="3"/>
        <v>3:0 (11,9,7)</v>
      </c>
      <c r="T12" s="23">
        <f t="shared" si="4"/>
        <v>-1</v>
      </c>
      <c r="U12" s="23">
        <f t="shared" si="5"/>
        <v>-1</v>
      </c>
      <c r="V12" s="23">
        <f t="shared" si="6"/>
        <v>-1</v>
      </c>
      <c r="W12" s="23">
        <f t="shared" si="7"/>
        <v>0</v>
      </c>
      <c r="X12" s="23">
        <f t="shared" si="8"/>
        <v>0</v>
      </c>
    </row>
    <row r="13" spans="1:24" ht="12.75">
      <c r="A13" s="2" t="str">
        <f>CONCATENATE("Útěcha ",úvod!$C$8," - 1.kolo")</f>
        <v>Útěcha YOUNGER CADET BOYS - 1.kolo</v>
      </c>
      <c r="B13" s="2">
        <f>útěcha!B48</f>
        <v>0</v>
      </c>
      <c r="C13" s="2" t="str">
        <f>IF($B13=0,"bye",VLOOKUP($B13,seznam!$A$2:$D$269,2))</f>
        <v>bye</v>
      </c>
      <c r="D13" s="2">
        <f>IF($B13=0,"",VLOOKUP($B13,seznam!$A$2:$E$269,4))</f>
      </c>
      <c r="E13" s="2">
        <f>útěcha!$B$50</f>
        <v>60</v>
      </c>
      <c r="F13" s="2" t="str">
        <f>IF($E13=0,"bye",VLOOKUP($E13,seznam!$A$2:$D$269,2))</f>
        <v>Kostrián Matúš</v>
      </c>
      <c r="G13" s="2" t="str">
        <f>IF($E13=0,"",VLOOKUP($E13,seznam!$A$2:$E$269,4))</f>
        <v>STK Pezinok</v>
      </c>
      <c r="H13" s="67"/>
      <c r="I13" s="68"/>
      <c r="J13" s="68"/>
      <c r="K13" s="68"/>
      <c r="L13" s="69"/>
      <c r="M13" s="2">
        <f t="shared" si="9"/>
        <v>0</v>
      </c>
      <c r="N13" s="2">
        <v>3</v>
      </c>
      <c r="O13" s="2">
        <f t="shared" si="1"/>
        <v>60</v>
      </c>
      <c r="P13" s="2" t="str">
        <f>IF($O13=0,"",VLOOKUP($O13,seznam!$A$2:$D$269,2))</f>
        <v>Kostrián Matúš</v>
      </c>
      <c r="Q13" s="2" t="str">
        <f t="shared" si="2"/>
        <v>3:0 (0,0,0)</v>
      </c>
      <c r="R13" s="2" t="str">
        <f t="shared" si="3"/>
        <v>3:0 (0,0,0)</v>
      </c>
      <c r="T13" s="23">
        <f t="shared" si="4"/>
        <v>0</v>
      </c>
      <c r="U13" s="23">
        <f t="shared" si="5"/>
        <v>0</v>
      </c>
      <c r="V13" s="23">
        <f t="shared" si="6"/>
        <v>0</v>
      </c>
      <c r="W13" s="23">
        <f t="shared" si="7"/>
        <v>0</v>
      </c>
      <c r="X13" s="23">
        <f t="shared" si="8"/>
        <v>0</v>
      </c>
    </row>
    <row r="14" spans="1:24" ht="12.75">
      <c r="A14" s="2" t="str">
        <f>CONCATENATE("Útěcha ",úvod!$C$8," - 1.kolo")</f>
        <v>Útěcha YOUNGER CADET BOYS - 1.kolo</v>
      </c>
      <c r="B14" s="2">
        <f>útěcha!B52</f>
        <v>52</v>
      </c>
      <c r="C14" s="2" t="str">
        <f>IF($B14=0,"bye",VLOOKUP($B14,seznam!$A$2:$D$269,2))</f>
        <v>Oharek David</v>
      </c>
      <c r="D14" s="2" t="str">
        <f>IF($B14=0,"",VLOOKUP($B14,seznam!$A$2:$E$269,4))</f>
        <v>Zlín</v>
      </c>
      <c r="E14" s="2">
        <f>útěcha!$B$54</f>
        <v>30</v>
      </c>
      <c r="F14" s="2" t="str">
        <f>IF($E14=0,"bye",VLOOKUP($E14,seznam!$A$2:$D$269,2))</f>
        <v>Trúchlik Jozef</v>
      </c>
      <c r="G14" s="2" t="str">
        <f>IF($E14=0,"",VLOOKUP($E14,seznam!$A$2:$E$269,4))</f>
        <v>MSK Čadca</v>
      </c>
      <c r="H14" s="67" t="s">
        <v>211</v>
      </c>
      <c r="I14" s="68" t="s">
        <v>208</v>
      </c>
      <c r="J14" s="68" t="s">
        <v>220</v>
      </c>
      <c r="K14" s="68"/>
      <c r="L14" s="69"/>
      <c r="M14" s="2">
        <f t="shared" si="9"/>
        <v>3</v>
      </c>
      <c r="N14" s="2">
        <f t="shared" si="0"/>
        <v>0</v>
      </c>
      <c r="O14" s="2">
        <f t="shared" si="1"/>
        <v>52</v>
      </c>
      <c r="P14" s="2" t="str">
        <f>IF($O14=0,"",VLOOKUP($O14,seznam!$A$2:$D$269,2))</f>
        <v>Oharek David</v>
      </c>
      <c r="Q14" s="2" t="str">
        <f t="shared" si="2"/>
        <v>3:0 (5,8,4)</v>
      </c>
      <c r="R14" s="2" t="str">
        <f t="shared" si="3"/>
        <v>3:0 (5,8,4)</v>
      </c>
      <c r="T14" s="23">
        <f t="shared" si="4"/>
        <v>1</v>
      </c>
      <c r="U14" s="23">
        <f t="shared" si="5"/>
        <v>1</v>
      </c>
      <c r="V14" s="23">
        <f t="shared" si="6"/>
        <v>1</v>
      </c>
      <c r="W14" s="23">
        <f t="shared" si="7"/>
        <v>0</v>
      </c>
      <c r="X14" s="23">
        <f t="shared" si="8"/>
        <v>0</v>
      </c>
    </row>
    <row r="15" spans="1:24" ht="12.75">
      <c r="A15" s="2" t="str">
        <f>CONCATENATE("Útěcha ",úvod!$C$8," - 1.kolo")</f>
        <v>Útěcha YOUNGER CADET BOYS - 1.kolo</v>
      </c>
      <c r="B15" s="2">
        <f>útěcha!B56</f>
        <v>45</v>
      </c>
      <c r="C15" s="2" t="str">
        <f>IF($B15=0,"bye",VLOOKUP($B15,seznam!$A$2:$D$269,2))</f>
        <v>Feiler Marcel</v>
      </c>
      <c r="D15" s="2" t="str">
        <f>IF($B15=0,"",VLOOKUP($B15,seznam!$A$2:$E$269,4))</f>
        <v>Trenčianská Teplá</v>
      </c>
      <c r="E15" s="2">
        <f>útěcha!$B$58</f>
        <v>19</v>
      </c>
      <c r="F15" s="2" t="str">
        <f>IF($E15=0,"bye",VLOOKUP($E15,seznam!$A$2:$D$269,2))</f>
        <v>Ivan Karpov</v>
      </c>
      <c r="G15" s="2" t="str">
        <f>IF($E15=0,"",VLOOKUP($E15,seznam!$A$2:$E$269,4))</f>
        <v>Israel </v>
      </c>
      <c r="H15" s="67" t="s">
        <v>211</v>
      </c>
      <c r="I15" s="68" t="s">
        <v>209</v>
      </c>
      <c r="J15" s="68" t="s">
        <v>208</v>
      </c>
      <c r="K15" s="68"/>
      <c r="L15" s="69"/>
      <c r="M15" s="2">
        <f t="shared" si="9"/>
        <v>3</v>
      </c>
      <c r="N15" s="2">
        <f t="shared" si="0"/>
        <v>0</v>
      </c>
      <c r="O15" s="2">
        <f t="shared" si="1"/>
        <v>45</v>
      </c>
      <c r="P15" s="2" t="str">
        <f>IF($O15=0,"",VLOOKUP($O15,seznam!$A$2:$D$269,2))</f>
        <v>Feiler Marcel</v>
      </c>
      <c r="Q15" s="2" t="str">
        <f t="shared" si="2"/>
        <v>3:0 (5,7,8)</v>
      </c>
      <c r="R15" s="2" t="str">
        <f t="shared" si="3"/>
        <v>3:0 (5,7,8)</v>
      </c>
      <c r="T15" s="23">
        <f t="shared" si="4"/>
        <v>1</v>
      </c>
      <c r="U15" s="23">
        <f t="shared" si="5"/>
        <v>1</v>
      </c>
      <c r="V15" s="23">
        <f t="shared" si="6"/>
        <v>1</v>
      </c>
      <c r="W15" s="23">
        <f t="shared" si="7"/>
        <v>0</v>
      </c>
      <c r="X15" s="23">
        <f t="shared" si="8"/>
        <v>0</v>
      </c>
    </row>
    <row r="16" spans="1:24" ht="12.75">
      <c r="A16" s="2" t="str">
        <f>CONCATENATE("Útěcha ",úvod!$C$8," - 1.kolo")</f>
        <v>Útěcha YOUNGER CADET BOYS - 1.kolo</v>
      </c>
      <c r="B16" s="2">
        <f>útěcha!B60</f>
        <v>27</v>
      </c>
      <c r="C16" s="2" t="str">
        <f>IF($B16=0,"bye",VLOOKUP($B16,seznam!$A$2:$D$269,2))</f>
        <v>Červinka Lukáš</v>
      </c>
      <c r="D16" s="2" t="str">
        <f>IF($B16=0,"",VLOOKUP($B16,seznam!$A$2:$E$269,4))</f>
        <v>KST Kroměříž</v>
      </c>
      <c r="E16" s="2">
        <f>útěcha!$B$62</f>
        <v>23</v>
      </c>
      <c r="F16" s="2" t="str">
        <f>IF($E16=0,"bye",VLOOKUP($E16,seznam!$A$2:$D$269,2))</f>
        <v>Miko Michal</v>
      </c>
      <c r="G16" s="2" t="str">
        <f>IF($E16=0,"",VLOOKUP($E16,seznam!$A$2:$E$269,4))</f>
        <v>Karlova Ves</v>
      </c>
      <c r="H16" s="67" t="s">
        <v>207</v>
      </c>
      <c r="I16" s="68" t="s">
        <v>215</v>
      </c>
      <c r="J16" s="68" t="s">
        <v>218</v>
      </c>
      <c r="K16" s="68"/>
      <c r="L16" s="69"/>
      <c r="M16" s="2">
        <f t="shared" si="9"/>
        <v>0</v>
      </c>
      <c r="N16" s="2">
        <f t="shared" si="0"/>
        <v>3</v>
      </c>
      <c r="O16" s="2">
        <f t="shared" si="1"/>
        <v>23</v>
      </c>
      <c r="P16" s="2" t="str">
        <f>IF($O16=0,"",VLOOKUP($O16,seznam!$A$2:$D$269,2))</f>
        <v>Miko Michal</v>
      </c>
      <c r="Q16" s="2" t="str">
        <f t="shared" si="2"/>
        <v>3:0 (9,8,7)</v>
      </c>
      <c r="R16" s="2" t="str">
        <f t="shared" si="3"/>
        <v>3:0 (9,8,7)</v>
      </c>
      <c r="T16" s="23">
        <f t="shared" si="4"/>
        <v>-1</v>
      </c>
      <c r="U16" s="23">
        <f t="shared" si="5"/>
        <v>-1</v>
      </c>
      <c r="V16" s="23">
        <f t="shared" si="6"/>
        <v>-1</v>
      </c>
      <c r="W16" s="23">
        <f t="shared" si="7"/>
        <v>0</v>
      </c>
      <c r="X16" s="23">
        <f t="shared" si="8"/>
        <v>0</v>
      </c>
    </row>
    <row r="17" spans="1:24" ht="12.75">
      <c r="A17" s="2" t="str">
        <f>CONCATENATE("Útěcha ",úvod!$C$8," - 1.kolo")</f>
        <v>Útěcha YOUNGER CADET BOYS - 1.kolo</v>
      </c>
      <c r="B17" s="2">
        <f>útěcha!B64</f>
        <v>0</v>
      </c>
      <c r="C17" s="2" t="str">
        <f>IF($B17=0,"bye",VLOOKUP($B17,seznam!$A$2:$D$269,2))</f>
        <v>bye</v>
      </c>
      <c r="D17" s="2">
        <f>IF($B17=0,"",VLOOKUP($B17,seznam!$A$2:$E$269,4))</f>
      </c>
      <c r="E17" s="2">
        <f>útěcha!$B$66</f>
        <v>57</v>
      </c>
      <c r="F17" s="2" t="str">
        <f>IF($E17=0,"bye",VLOOKUP($E17,seznam!$A$2:$D$269,2))</f>
        <v>Plhák Martin</v>
      </c>
      <c r="G17" s="2" t="str">
        <f>IF($E17=0,"",VLOOKUP($E17,seznam!$A$2:$E$269,4))</f>
        <v>Zlín </v>
      </c>
      <c r="H17" s="67"/>
      <c r="I17" s="68"/>
      <c r="J17" s="68"/>
      <c r="K17" s="68"/>
      <c r="L17" s="69"/>
      <c r="M17" s="2">
        <f t="shared" si="9"/>
        <v>0</v>
      </c>
      <c r="N17" s="2">
        <v>3</v>
      </c>
      <c r="O17" s="2">
        <f t="shared" si="1"/>
        <v>57</v>
      </c>
      <c r="P17" s="2" t="str">
        <f>IF($O17=0,"",VLOOKUP($O17,seznam!$A$2:$D$269,2))</f>
        <v>Plhák Martin</v>
      </c>
      <c r="Q17" s="2" t="str">
        <f t="shared" si="2"/>
        <v>3:0 (0,0,0)</v>
      </c>
      <c r="R17" s="2" t="str">
        <f t="shared" si="3"/>
        <v>3:0 (0,0,0)</v>
      </c>
      <c r="T17" s="23">
        <f t="shared" si="4"/>
        <v>0</v>
      </c>
      <c r="U17" s="23">
        <f t="shared" si="5"/>
        <v>0</v>
      </c>
      <c r="V17" s="23">
        <f t="shared" si="6"/>
        <v>0</v>
      </c>
      <c r="W17" s="23">
        <f t="shared" si="7"/>
        <v>0</v>
      </c>
      <c r="X17" s="23">
        <f t="shared" si="8"/>
        <v>0</v>
      </c>
    </row>
    <row r="18" spans="8:12" ht="13.5" thickBot="1">
      <c r="H18" s="19"/>
      <c r="I18" s="19"/>
      <c r="J18" s="19"/>
      <c r="K18" s="19"/>
      <c r="L18" s="19"/>
    </row>
    <row r="19" spans="1:24" ht="13.5" thickTop="1">
      <c r="A19" s="2" t="str">
        <f>CONCATENATE("Útěcha ",úvod!$C$8," - 2.kolo")</f>
        <v>Útěcha YOUNGER CADET BOYS - 2.kolo</v>
      </c>
      <c r="B19" s="2">
        <f>O2</f>
        <v>54</v>
      </c>
      <c r="C19" s="2" t="str">
        <f>IF($B19=0,"",VLOOKUP($B19,seznam!$A$2:$D$269,2))</f>
        <v>Nedbálek Michal</v>
      </c>
      <c r="D19" s="2" t="str">
        <f>IF($B19=0,"",VLOOKUP($B19,seznam!$A$2:$E$269,4))</f>
        <v>Zlín</v>
      </c>
      <c r="E19" s="2">
        <f>O3</f>
        <v>9</v>
      </c>
      <c r="F19" s="2" t="str">
        <f>IF($E19=0,"",VLOOKUP($E19,seznam!$A$2:$D$269,2))</f>
        <v>Lancz Vojtěch</v>
      </c>
      <c r="G19" s="2" t="str">
        <f>IF($E19=0,"",VLOOKUP($E19,seznam!$A$2:$E$269,4))</f>
        <v>Gasto Galanta</v>
      </c>
      <c r="H19" s="64" t="s">
        <v>206</v>
      </c>
      <c r="I19" s="65" t="s">
        <v>224</v>
      </c>
      <c r="J19" s="65" t="s">
        <v>209</v>
      </c>
      <c r="K19" s="65" t="s">
        <v>208</v>
      </c>
      <c r="L19" s="66"/>
      <c r="M19" s="2">
        <f aca="true" t="shared" si="10" ref="M19:M26">COUNTIF(T19:X19,"&gt;0")</f>
        <v>3</v>
      </c>
      <c r="N19" s="2">
        <f aca="true" t="shared" si="11" ref="N19:N26">COUNTIF(T19:X19,"&lt;0")</f>
        <v>1</v>
      </c>
      <c r="O19" s="2">
        <f aca="true" t="shared" si="12" ref="O19:O26">IF(M19=N19,0,IF(M19&gt;N19,B19,E19))</f>
        <v>54</v>
      </c>
      <c r="P19" s="2" t="str">
        <f>IF($O19=0,"",VLOOKUP($O19,seznam!$A$2:$D$269,2))</f>
        <v>Nedbálek Michal</v>
      </c>
      <c r="Q19" s="2" t="str">
        <f aca="true" t="shared" si="13" ref="Q19:Q26"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  <v>3:1 (2,-5,7,8)</v>
      </c>
      <c r="R19" s="2" t="str">
        <f aca="true" t="shared" si="14" ref="R19:R26">IF(MAX(M19:N19)=3,Q19,"")</f>
        <v>3:1 (2,-5,7,8)</v>
      </c>
      <c r="T19" s="23">
        <f aca="true" t="shared" si="15" ref="T19:T26">IF(H19="",0,IF(MID(H19,1,1)="-",-1,1))</f>
        <v>1</v>
      </c>
      <c r="U19" s="23">
        <f aca="true" t="shared" si="16" ref="U19:U26">IF(I19="",0,IF(MID(I19,1,1)="-",-1,1))</f>
        <v>-1</v>
      </c>
      <c r="V19" s="23">
        <f aca="true" t="shared" si="17" ref="V19:V26">IF(J19="",0,IF(MID(J19,1,1)="-",-1,1))</f>
        <v>1</v>
      </c>
      <c r="W19" s="23">
        <f aca="true" t="shared" si="18" ref="W19:W26">IF(K19="",0,IF(MID(K19,1,1)="-",-1,1))</f>
        <v>1</v>
      </c>
      <c r="X19" s="23">
        <f aca="true" t="shared" si="19" ref="X19:X26">IF(L19="",0,IF(MID(L19,1,1)="-",-1,1))</f>
        <v>0</v>
      </c>
    </row>
    <row r="20" spans="1:24" ht="12.75">
      <c r="A20" s="2" t="str">
        <f>CONCATENATE("Útěcha ",úvod!$C$8," - 2.kolo")</f>
        <v>Útěcha YOUNGER CADET BOYS - 2.kolo</v>
      </c>
      <c r="B20" s="2">
        <f>O4</f>
        <v>5</v>
      </c>
      <c r="C20" s="2" t="str">
        <f>IF($B20=0,"",VLOOKUP($B20,seznam!$A$2:$D$269,2))</f>
        <v>Vacek Jan</v>
      </c>
      <c r="D20" s="2" t="str">
        <f>IF($B20=0,"",VLOOKUP($B20,seznam!$A$2:$E$269,4))</f>
        <v>Břeclav</v>
      </c>
      <c r="E20" s="2">
        <f>O5</f>
        <v>61</v>
      </c>
      <c r="F20" s="2" t="str">
        <f>IF($E20=0,"",VLOOKUP($E20,seznam!$A$2:$D$269,2))</f>
        <v>Jalovecký Marek</v>
      </c>
      <c r="G20" s="2" t="str">
        <f>IF($E20=0,"",VLOOKUP($E20,seznam!$A$2:$E$269,4))</f>
        <v>STK Pezinok</v>
      </c>
      <c r="H20" s="67" t="s">
        <v>224</v>
      </c>
      <c r="I20" s="68" t="s">
        <v>208</v>
      </c>
      <c r="J20" s="68" t="s">
        <v>209</v>
      </c>
      <c r="K20" s="68" t="s">
        <v>211</v>
      </c>
      <c r="L20" s="69"/>
      <c r="M20" s="2">
        <f t="shared" si="10"/>
        <v>3</v>
      </c>
      <c r="N20" s="2">
        <f t="shared" si="11"/>
        <v>1</v>
      </c>
      <c r="O20" s="2">
        <f t="shared" si="12"/>
        <v>5</v>
      </c>
      <c r="P20" s="2" t="str">
        <f>IF($O20=0,"",VLOOKUP($O20,seznam!$A$2:$D$269,2))</f>
        <v>Vacek Jan</v>
      </c>
      <c r="Q20" s="2" t="str">
        <f t="shared" si="13"/>
        <v>3:1 (-5,8,7,5)</v>
      </c>
      <c r="R20" s="2" t="str">
        <f t="shared" si="14"/>
        <v>3:1 (-5,8,7,5)</v>
      </c>
      <c r="T20" s="23">
        <f t="shared" si="15"/>
        <v>-1</v>
      </c>
      <c r="U20" s="23">
        <f t="shared" si="16"/>
        <v>1</v>
      </c>
      <c r="V20" s="23">
        <f t="shared" si="17"/>
        <v>1</v>
      </c>
      <c r="W20" s="23">
        <f t="shared" si="18"/>
        <v>1</v>
      </c>
      <c r="X20" s="23">
        <f t="shared" si="19"/>
        <v>0</v>
      </c>
    </row>
    <row r="21" spans="1:24" ht="12.75">
      <c r="A21" s="2" t="str">
        <f>CONCATENATE("Útěcha ",úvod!$C$8," - 2.kolo")</f>
        <v>Útěcha YOUNGER CADET BOYS - 2.kolo</v>
      </c>
      <c r="B21" s="2">
        <f>O6</f>
        <v>43</v>
      </c>
      <c r="C21" s="2" t="str">
        <f>IF($B21=0,"",VLOOKUP($B21,seznam!$A$2:$D$269,2))</f>
        <v>Petřík Filip</v>
      </c>
      <c r="D21" s="2" t="str">
        <f>IF($B21=0,"",VLOOKUP($B21,seznam!$A$2:$E$269,4))</f>
        <v>Trebišov</v>
      </c>
      <c r="E21" s="2">
        <f>O7</f>
        <v>20</v>
      </c>
      <c r="F21" s="2" t="str">
        <f>IF($E21=0,"",VLOOKUP($E21,seznam!$A$2:$D$269,2))</f>
        <v>Nadav Lazimi</v>
      </c>
      <c r="G21" s="2" t="str">
        <f>IF($E21=0,"",VLOOKUP($E21,seznam!$A$2:$E$269,4))</f>
        <v>Israel </v>
      </c>
      <c r="H21" s="67" t="s">
        <v>210</v>
      </c>
      <c r="I21" s="68" t="s">
        <v>215</v>
      </c>
      <c r="J21" s="68" t="s">
        <v>218</v>
      </c>
      <c r="K21" s="68" t="s">
        <v>207</v>
      </c>
      <c r="L21" s="69"/>
      <c r="M21" s="2">
        <f t="shared" si="10"/>
        <v>1</v>
      </c>
      <c r="N21" s="2">
        <f t="shared" si="11"/>
        <v>3</v>
      </c>
      <c r="O21" s="2">
        <f t="shared" si="12"/>
        <v>20</v>
      </c>
      <c r="P21" s="2" t="str">
        <f>IF($O21=0,"",VLOOKUP($O21,seznam!$A$2:$D$269,2))</f>
        <v>Nadav Lazimi</v>
      </c>
      <c r="Q21" s="2" t="str">
        <f t="shared" si="13"/>
        <v>3:1 (-6,8,7,9)</v>
      </c>
      <c r="R21" s="2" t="str">
        <f t="shared" si="14"/>
        <v>3:1 (-6,8,7,9)</v>
      </c>
      <c r="T21" s="23">
        <f t="shared" si="15"/>
        <v>1</v>
      </c>
      <c r="U21" s="23">
        <f t="shared" si="16"/>
        <v>-1</v>
      </c>
      <c r="V21" s="23">
        <f t="shared" si="17"/>
        <v>-1</v>
      </c>
      <c r="W21" s="23">
        <f t="shared" si="18"/>
        <v>-1</v>
      </c>
      <c r="X21" s="23">
        <f t="shared" si="19"/>
        <v>0</v>
      </c>
    </row>
    <row r="22" spans="1:24" ht="12.75">
      <c r="A22" s="2" t="str">
        <f>CONCATENATE("Útěcha ",úvod!$C$8," - 2.kolo")</f>
        <v>Útěcha YOUNGER CADET BOYS - 2.kolo</v>
      </c>
      <c r="B22" s="2">
        <f>O8</f>
        <v>37</v>
      </c>
      <c r="C22" s="2" t="str">
        <f>IF($B22=0,"",VLOOKUP($B22,seznam!$A$2:$D$269,2))</f>
        <v>Hrebačka Tadeáš</v>
      </c>
      <c r="D22" s="2" t="str">
        <f>IF($B22=0,"",VLOOKUP($B22,seznam!$A$2:$E$269,4))</f>
        <v>SKST Hodonín</v>
      </c>
      <c r="E22" s="2">
        <f>O9</f>
        <v>14</v>
      </c>
      <c r="F22" s="2" t="str">
        <f>IF($E22=0,"",VLOOKUP($E22,seznam!$A$2:$D$269,2))</f>
        <v>David Matan</v>
      </c>
      <c r="G22" s="2" t="str">
        <f>IF($E22=0,"",VLOOKUP($E22,seznam!$A$2:$E$269,4))</f>
        <v>Israel </v>
      </c>
      <c r="H22" s="67" t="s">
        <v>224</v>
      </c>
      <c r="I22" s="68" t="s">
        <v>218</v>
      </c>
      <c r="J22" s="68" t="s">
        <v>221</v>
      </c>
      <c r="K22" s="68"/>
      <c r="L22" s="69"/>
      <c r="M22" s="2">
        <f t="shared" si="10"/>
        <v>0</v>
      </c>
      <c r="N22" s="2">
        <f t="shared" si="11"/>
        <v>3</v>
      </c>
      <c r="O22" s="2">
        <f t="shared" si="12"/>
        <v>14</v>
      </c>
      <c r="P22" s="2" t="str">
        <f>IF($O22=0,"",VLOOKUP($O22,seznam!$A$2:$D$269,2))</f>
        <v>David Matan</v>
      </c>
      <c r="Q22" s="2" t="str">
        <f t="shared" si="13"/>
        <v>3:0 (5,7,6)</v>
      </c>
      <c r="R22" s="2" t="str">
        <f t="shared" si="14"/>
        <v>3:0 (5,7,6)</v>
      </c>
      <c r="T22" s="23">
        <f t="shared" si="15"/>
        <v>-1</v>
      </c>
      <c r="U22" s="23">
        <f t="shared" si="16"/>
        <v>-1</v>
      </c>
      <c r="V22" s="23">
        <f t="shared" si="17"/>
        <v>-1</v>
      </c>
      <c r="W22" s="23">
        <f t="shared" si="18"/>
        <v>0</v>
      </c>
      <c r="X22" s="23">
        <f t="shared" si="19"/>
        <v>0</v>
      </c>
    </row>
    <row r="23" spans="1:24" ht="12.75">
      <c r="A23" s="2" t="str">
        <f>CONCATENATE("Útěcha ",úvod!$C$8," - 2.kolo")</f>
        <v>Útěcha YOUNGER CADET BOYS - 2.kolo</v>
      </c>
      <c r="B23" s="2">
        <f>O10</f>
        <v>25</v>
      </c>
      <c r="C23" s="2" t="str">
        <f>IF($B23=0,"",VLOOKUP($B23,seznam!$A$2:$D$269,2))</f>
        <v>Krpálek Martin</v>
      </c>
      <c r="D23" s="2" t="str">
        <f>IF($B23=0,"",VLOOKUP($B23,seznam!$A$2:$E$269,4))</f>
        <v>Komňa</v>
      </c>
      <c r="E23" s="2">
        <f>O11</f>
        <v>21</v>
      </c>
      <c r="F23" s="2" t="str">
        <f>IF($E23=0,"",VLOOKUP($E23,seznam!$A$2:$D$269,2))</f>
        <v>Noam  Baltiansky</v>
      </c>
      <c r="G23" s="2" t="str">
        <f>IF($E23=0,"",VLOOKUP($E23,seznam!$A$2:$E$269,4))</f>
        <v>Israel </v>
      </c>
      <c r="H23" s="67" t="s">
        <v>207</v>
      </c>
      <c r="I23" s="68" t="s">
        <v>213</v>
      </c>
      <c r="J23" s="68" t="s">
        <v>224</v>
      </c>
      <c r="K23" s="68" t="s">
        <v>207</v>
      </c>
      <c r="L23" s="69"/>
      <c r="M23" s="2">
        <f t="shared" si="10"/>
        <v>1</v>
      </c>
      <c r="N23" s="2">
        <f t="shared" si="11"/>
        <v>3</v>
      </c>
      <c r="O23" s="2">
        <f t="shared" si="12"/>
        <v>21</v>
      </c>
      <c r="P23" s="2" t="str">
        <f>IF($O23=0,"",VLOOKUP($O23,seznam!$A$2:$D$269,2))</f>
        <v>Noam  Baltiansky</v>
      </c>
      <c r="Q23" s="2" t="str">
        <f t="shared" si="13"/>
        <v>3:1 (9,-9,5,9)</v>
      </c>
      <c r="R23" s="2" t="str">
        <f t="shared" si="14"/>
        <v>3:1 (9,-9,5,9)</v>
      </c>
      <c r="T23" s="23">
        <f t="shared" si="15"/>
        <v>-1</v>
      </c>
      <c r="U23" s="23">
        <f t="shared" si="16"/>
        <v>1</v>
      </c>
      <c r="V23" s="23">
        <f t="shared" si="17"/>
        <v>-1</v>
      </c>
      <c r="W23" s="23">
        <f t="shared" si="18"/>
        <v>-1</v>
      </c>
      <c r="X23" s="23">
        <f t="shared" si="19"/>
        <v>0</v>
      </c>
    </row>
    <row r="24" spans="1:24" ht="12.75">
      <c r="A24" s="2" t="str">
        <f>CONCATENATE("Útěcha ",úvod!$C$8," - 2.kolo")</f>
        <v>Útěcha YOUNGER CADET BOYS - 2.kolo</v>
      </c>
      <c r="B24" s="2">
        <f>O12</f>
        <v>42</v>
      </c>
      <c r="C24" s="2" t="str">
        <f>IF($B24=0,"",VLOOKUP($B24,seznam!$A$2:$D$269,2))</f>
        <v>Bareš David</v>
      </c>
      <c r="D24" s="2" t="str">
        <f>IF($B24=0,"",VLOOKUP($B24,seznam!$A$2:$E$269,4))</f>
        <v>TJ Bystřice pod Hostýnem</v>
      </c>
      <c r="E24" s="2">
        <f>O13</f>
        <v>60</v>
      </c>
      <c r="F24" s="2" t="str">
        <f>IF($E24=0,"",VLOOKUP($E24,seznam!$A$2:$D$269,2))</f>
        <v>Kostrián Matúš</v>
      </c>
      <c r="G24" s="2" t="str">
        <f>IF($E24=0,"",VLOOKUP($E24,seznam!$A$2:$E$269,4))</f>
        <v>STK Pezinok</v>
      </c>
      <c r="H24" s="67" t="s">
        <v>221</v>
      </c>
      <c r="I24" s="68" t="s">
        <v>225</v>
      </c>
      <c r="J24" s="68" t="s">
        <v>215</v>
      </c>
      <c r="K24" s="68"/>
      <c r="L24" s="69"/>
      <c r="M24" s="2">
        <f t="shared" si="10"/>
        <v>0</v>
      </c>
      <c r="N24" s="2">
        <f t="shared" si="11"/>
        <v>3</v>
      </c>
      <c r="O24" s="2">
        <f t="shared" si="12"/>
        <v>60</v>
      </c>
      <c r="P24" s="2" t="str">
        <f>IF($O24=0,"",VLOOKUP($O24,seznam!$A$2:$D$269,2))</f>
        <v>Kostrián Matúš</v>
      </c>
      <c r="Q24" s="2" t="str">
        <f t="shared" si="13"/>
        <v>3:0 (6,4,8)</v>
      </c>
      <c r="R24" s="2" t="str">
        <f t="shared" si="14"/>
        <v>3:0 (6,4,8)</v>
      </c>
      <c r="T24" s="23">
        <f t="shared" si="15"/>
        <v>-1</v>
      </c>
      <c r="U24" s="23">
        <f t="shared" si="16"/>
        <v>-1</v>
      </c>
      <c r="V24" s="23">
        <f t="shared" si="17"/>
        <v>-1</v>
      </c>
      <c r="W24" s="23">
        <f t="shared" si="18"/>
        <v>0</v>
      </c>
      <c r="X24" s="23">
        <f t="shared" si="19"/>
        <v>0</v>
      </c>
    </row>
    <row r="25" spans="1:24" ht="12.75">
      <c r="A25" s="2" t="str">
        <f>CONCATENATE("Útěcha ",úvod!$C$8," - 2.kolo")</f>
        <v>Útěcha YOUNGER CADET BOYS - 2.kolo</v>
      </c>
      <c r="B25" s="2">
        <f>O14</f>
        <v>52</v>
      </c>
      <c r="C25" s="2" t="str">
        <f>IF($B25=0,"",VLOOKUP($B25,seznam!$A$2:$D$269,2))</f>
        <v>Oharek David</v>
      </c>
      <c r="D25" s="2" t="str">
        <f>IF($B25=0,"",VLOOKUP($B25,seznam!$A$2:$E$269,4))</f>
        <v>Zlín</v>
      </c>
      <c r="E25" s="2">
        <f>O15</f>
        <v>45</v>
      </c>
      <c r="F25" s="2" t="str">
        <f>IF($E25=0,"",VLOOKUP($E25,seznam!$A$2:$D$269,2))</f>
        <v>Feiler Marcel</v>
      </c>
      <c r="G25" s="2" t="str">
        <f>IF($E25=0,"",VLOOKUP($E25,seznam!$A$2:$E$269,4))</f>
        <v>Trenčianská Teplá</v>
      </c>
      <c r="H25" s="67" t="s">
        <v>212</v>
      </c>
      <c r="I25" s="68" t="s">
        <v>220</v>
      </c>
      <c r="J25" s="68" t="s">
        <v>209</v>
      </c>
      <c r="K25" s="68"/>
      <c r="L25" s="69"/>
      <c r="M25" s="2">
        <f t="shared" si="10"/>
        <v>3</v>
      </c>
      <c r="N25" s="2">
        <f t="shared" si="11"/>
        <v>0</v>
      </c>
      <c r="O25" s="2">
        <f t="shared" si="12"/>
        <v>52</v>
      </c>
      <c r="P25" s="2" t="str">
        <f>IF($O25=0,"",VLOOKUP($O25,seznam!$A$2:$D$269,2))</f>
        <v>Oharek David</v>
      </c>
      <c r="Q25" s="2" t="str">
        <f t="shared" si="13"/>
        <v>3:0 (3,4,7)</v>
      </c>
      <c r="R25" s="2" t="str">
        <f t="shared" si="14"/>
        <v>3:0 (3,4,7)</v>
      </c>
      <c r="T25" s="23">
        <f t="shared" si="15"/>
        <v>1</v>
      </c>
      <c r="U25" s="23">
        <f t="shared" si="16"/>
        <v>1</v>
      </c>
      <c r="V25" s="23">
        <f t="shared" si="17"/>
        <v>1</v>
      </c>
      <c r="W25" s="23">
        <f t="shared" si="18"/>
        <v>0</v>
      </c>
      <c r="X25" s="23">
        <f t="shared" si="19"/>
        <v>0</v>
      </c>
    </row>
    <row r="26" spans="1:24" ht="12.75">
      <c r="A26" s="2" t="str">
        <f>CONCATENATE("Útěcha ",úvod!$C$8," - 2.kolo")</f>
        <v>Útěcha YOUNGER CADET BOYS - 2.kolo</v>
      </c>
      <c r="B26" s="2">
        <f>O16</f>
        <v>23</v>
      </c>
      <c r="C26" s="2" t="str">
        <f>IF($B26=0,"",VLOOKUP($B26,seznam!$A$2:$D$269,2))</f>
        <v>Miko Michal</v>
      </c>
      <c r="D26" s="2" t="str">
        <f>IF($B26=0,"",VLOOKUP($B26,seznam!$A$2:$E$269,4))</f>
        <v>Karlova Ves</v>
      </c>
      <c r="E26" s="2">
        <f>O17</f>
        <v>57</v>
      </c>
      <c r="F26" s="2" t="str">
        <f>IF($E26=0,"",VLOOKUP($E26,seznam!$A$2:$D$269,2))</f>
        <v>Plhák Martin</v>
      </c>
      <c r="G26" s="2" t="str">
        <f>IF($E26=0,"",VLOOKUP($E26,seznam!$A$2:$E$269,4))</f>
        <v>Zlín </v>
      </c>
      <c r="H26" s="67" t="s">
        <v>228</v>
      </c>
      <c r="I26" s="68" t="s">
        <v>225</v>
      </c>
      <c r="J26" s="68" t="s">
        <v>225</v>
      </c>
      <c r="K26" s="68"/>
      <c r="L26" s="69"/>
      <c r="M26" s="2">
        <f t="shared" si="10"/>
        <v>0</v>
      </c>
      <c r="N26" s="2">
        <f t="shared" si="11"/>
        <v>3</v>
      </c>
      <c r="O26" s="2">
        <f t="shared" si="12"/>
        <v>57</v>
      </c>
      <c r="P26" s="2" t="str">
        <f>IF($O26=0,"",VLOOKUP($O26,seznam!$A$2:$D$269,2))</f>
        <v>Plhák Martin</v>
      </c>
      <c r="Q26" s="2" t="str">
        <f t="shared" si="13"/>
        <v>3:0 (3,4,4)</v>
      </c>
      <c r="R26" s="2" t="str">
        <f t="shared" si="14"/>
        <v>3:0 (3,4,4)</v>
      </c>
      <c r="T26" s="23">
        <f t="shared" si="15"/>
        <v>-1</v>
      </c>
      <c r="U26" s="23">
        <f t="shared" si="16"/>
        <v>-1</v>
      </c>
      <c r="V26" s="23">
        <f t="shared" si="17"/>
        <v>-1</v>
      </c>
      <c r="W26" s="23">
        <f t="shared" si="18"/>
        <v>0</v>
      </c>
      <c r="X26" s="23">
        <f t="shared" si="19"/>
        <v>0</v>
      </c>
    </row>
    <row r="27" spans="8:12" ht="13.5" thickBot="1">
      <c r="H27" s="19"/>
      <c r="I27" s="19"/>
      <c r="J27" s="19"/>
      <c r="K27" s="19"/>
      <c r="L27" s="19"/>
    </row>
    <row r="28" spans="1:24" ht="13.5" thickTop="1">
      <c r="A28" s="2" t="str">
        <f>CONCATENATE("Útěcha ",úvod!$C$8," - 3.kolo")</f>
        <v>Útěcha YOUNGER CADET BOYS - 3.kolo</v>
      </c>
      <c r="B28" s="2">
        <f>O19</f>
        <v>54</v>
      </c>
      <c r="C28" s="2" t="str">
        <f>IF($B28=0,"",VLOOKUP($B28,seznam!$A$2:$D$269,2))</f>
        <v>Nedbálek Michal</v>
      </c>
      <c r="D28" s="2" t="str">
        <f>IF($B28=0,"",VLOOKUP($B28,seznam!$A$2:$E$269,4))</f>
        <v>Zlín</v>
      </c>
      <c r="E28" s="2">
        <f>O20</f>
        <v>5</v>
      </c>
      <c r="F28" s="2" t="str">
        <f>IF($E28=0,"",VLOOKUP($E28,seznam!$A$2:$D$269,2))</f>
        <v>Vacek Jan</v>
      </c>
      <c r="G28" s="2" t="str">
        <f>IF($E28=0,"",VLOOKUP($E28,seznam!$A$2:$E$269,4))</f>
        <v>Břeclav</v>
      </c>
      <c r="H28" s="64" t="s">
        <v>209</v>
      </c>
      <c r="I28" s="65" t="s">
        <v>218</v>
      </c>
      <c r="J28" s="65" t="s">
        <v>210</v>
      </c>
      <c r="K28" s="65" t="s">
        <v>221</v>
      </c>
      <c r="L28" s="66" t="s">
        <v>213</v>
      </c>
      <c r="M28" s="2">
        <f>COUNTIF(T28:X28,"&gt;0")</f>
        <v>3</v>
      </c>
      <c r="N28" s="2">
        <f>COUNTIF(T28:X28,"&lt;0")</f>
        <v>2</v>
      </c>
      <c r="O28" s="2">
        <f>IF(M28=N28,0,IF(M28&gt;N28,B28,E28))</f>
        <v>54</v>
      </c>
      <c r="P28" s="2" t="str">
        <f>IF($O28=0,"",VLOOKUP($O28,seznam!$A$2:$D$269,2))</f>
        <v>Nedbálek Michal</v>
      </c>
      <c r="Q28" s="2" t="str">
        <f>IF(M28=N28,"",IF(M28&gt;N28,CONCATENATE(M28,":",N28," (",H28,",",I28,",",J28,IF(SUM(M28:N28)&gt;3,",",""),K28,IF(SUM(M28:N28)&gt;4,",",""),L28,")"),CONCATENATE(N28,":",M28," (",IF(H28="0","-0",-H28),",",IF(I28="0","-0",-I28),",",IF(J28="0","-0",-J28),IF(SUM(M28:N28)&gt;3,CONCATENATE(",",IF(K28="0","-0",-K28)),""),IF(SUM(M28:N28)&gt;4,CONCATENATE(",",IF(L28="0","-0",-L28)),""),")")))</f>
        <v>3:2 (7,-7,6,-6,9)</v>
      </c>
      <c r="R28" s="2" t="str">
        <f>IF(MAX(M28:N28)=3,Q28,"")</f>
        <v>3:2 (7,-7,6,-6,9)</v>
      </c>
      <c r="T28" s="23">
        <f aca="true" t="shared" si="20" ref="T28:X31">IF(H28="",0,IF(MID(H28,1,1)="-",-1,1))</f>
        <v>1</v>
      </c>
      <c r="U28" s="23">
        <f t="shared" si="20"/>
        <v>-1</v>
      </c>
      <c r="V28" s="23">
        <f t="shared" si="20"/>
        <v>1</v>
      </c>
      <c r="W28" s="23">
        <f t="shared" si="20"/>
        <v>-1</v>
      </c>
      <c r="X28" s="23">
        <f t="shared" si="20"/>
        <v>1</v>
      </c>
    </row>
    <row r="29" spans="1:24" ht="12.75">
      <c r="A29" s="2" t="str">
        <f>CONCATENATE("Útěcha ",úvod!$C$8," - 3.kolo")</f>
        <v>Útěcha YOUNGER CADET BOYS - 3.kolo</v>
      </c>
      <c r="B29" s="2">
        <f>O21</f>
        <v>20</v>
      </c>
      <c r="C29" s="2" t="str">
        <f>IF($B29=0,"",VLOOKUP($B29,seznam!$A$2:$D$269,2))</f>
        <v>Nadav Lazimi</v>
      </c>
      <c r="D29" s="2" t="str">
        <f>IF($B29=0,"",VLOOKUP($B29,seznam!$A$2:$E$269,4))</f>
        <v>Israel </v>
      </c>
      <c r="E29" s="2">
        <f>O22</f>
        <v>14</v>
      </c>
      <c r="F29" s="2" t="str">
        <f>IF($E29=0,"",VLOOKUP($E29,seznam!$A$2:$D$269,2))</f>
        <v>David Matan</v>
      </c>
      <c r="G29" s="2" t="str">
        <f>IF($E29=0,"",VLOOKUP($E29,seznam!$A$2:$E$269,4))</f>
        <v>Israel </v>
      </c>
      <c r="H29" s="67" t="s">
        <v>210</v>
      </c>
      <c r="I29" s="68" t="s">
        <v>210</v>
      </c>
      <c r="J29" s="68" t="s">
        <v>215</v>
      </c>
      <c r="K29" s="68" t="s">
        <v>210</v>
      </c>
      <c r="L29" s="69"/>
      <c r="M29" s="2">
        <f>COUNTIF(T29:X29,"&gt;0")</f>
        <v>3</v>
      </c>
      <c r="N29" s="2">
        <f>COUNTIF(T29:X29,"&lt;0")</f>
        <v>1</v>
      </c>
      <c r="O29" s="2">
        <f>IF(M29=N29,0,IF(M29&gt;N29,B29,E29))</f>
        <v>20</v>
      </c>
      <c r="P29" s="2" t="str">
        <f>IF($O29=0,"",VLOOKUP($O29,seznam!$A$2:$D$269,2))</f>
        <v>Nadav Lazimi</v>
      </c>
      <c r="Q29" s="2" t="str">
        <f>IF(M29=N29,"",IF(M29&gt;N29,CONCATENATE(M29,":",N29," (",H29,",",I29,",",J29,IF(SUM(M29:N29)&gt;3,",",""),K29,IF(SUM(M29:N29)&gt;4,",",""),L29,")"),CONCATENATE(N29,":",M29," (",IF(H29="0","-0",-H29),",",IF(I29="0","-0",-I29),",",IF(J29="0","-0",-J29),IF(SUM(M29:N29)&gt;3,CONCATENATE(",",IF(K29="0","-0",-K29)),""),IF(SUM(M29:N29)&gt;4,CONCATENATE(",",IF(L29="0","-0",-L29)),""),")")))</f>
        <v>3:1 (6,6,-8,6)</v>
      </c>
      <c r="R29" s="2" t="str">
        <f>IF(MAX(M29:N29)=3,Q29,"")</f>
        <v>3:1 (6,6,-8,6)</v>
      </c>
      <c r="T29" s="23">
        <f t="shared" si="20"/>
        <v>1</v>
      </c>
      <c r="U29" s="23">
        <f t="shared" si="20"/>
        <v>1</v>
      </c>
      <c r="V29" s="23">
        <f t="shared" si="20"/>
        <v>-1</v>
      </c>
      <c r="W29" s="23">
        <f t="shared" si="20"/>
        <v>1</v>
      </c>
      <c r="X29" s="23">
        <f t="shared" si="20"/>
        <v>0</v>
      </c>
    </row>
    <row r="30" spans="1:24" ht="12.75">
      <c r="A30" s="2" t="str">
        <f>CONCATENATE("Útěcha ",úvod!$C$8," - 3.kolo")</f>
        <v>Útěcha YOUNGER CADET BOYS - 3.kolo</v>
      </c>
      <c r="B30" s="2">
        <f>O23</f>
        <v>21</v>
      </c>
      <c r="C30" s="2" t="str">
        <f>IF($B30=0,"",VLOOKUP($B30,seznam!$A$2:$D$269,2))</f>
        <v>Noam  Baltiansky</v>
      </c>
      <c r="D30" s="2" t="str">
        <f>IF($B30=0,"",VLOOKUP($B30,seznam!$A$2:$E$269,4))</f>
        <v>Israel </v>
      </c>
      <c r="E30" s="2">
        <f>O24</f>
        <v>60</v>
      </c>
      <c r="F30" s="2" t="str">
        <f>IF($E30=0,"",VLOOKUP($E30,seznam!$A$2:$D$269,2))</f>
        <v>Kostrián Matúš</v>
      </c>
      <c r="G30" s="2" t="str">
        <f>IF($E30=0,"",VLOOKUP($E30,seznam!$A$2:$E$269,4))</f>
        <v>STK Pezinok</v>
      </c>
      <c r="H30" s="67" t="s">
        <v>210</v>
      </c>
      <c r="I30" s="68" t="s">
        <v>215</v>
      </c>
      <c r="J30" s="68" t="s">
        <v>211</v>
      </c>
      <c r="K30" s="68" t="s">
        <v>209</v>
      </c>
      <c r="L30" s="69"/>
      <c r="M30" s="2">
        <f>COUNTIF(T30:X30,"&gt;0")</f>
        <v>3</v>
      </c>
      <c r="N30" s="2">
        <f>COUNTIF(T30:X30,"&lt;0")</f>
        <v>1</v>
      </c>
      <c r="O30" s="2">
        <f>IF(M30=N30,0,IF(M30&gt;N30,B30,E30))</f>
        <v>21</v>
      </c>
      <c r="P30" s="2" t="str">
        <f>IF($O30=0,"",VLOOKUP($O30,seznam!$A$2:$D$269,2))</f>
        <v>Noam  Baltiansky</v>
      </c>
      <c r="Q30" s="2" t="str">
        <f>IF(M30=N30,"",IF(M30&gt;N30,CONCATENATE(M30,":",N30," (",H30,",",I30,",",J30,IF(SUM(M30:N30)&gt;3,",",""),K30,IF(SUM(M30:N30)&gt;4,",",""),L30,")"),CONCATENATE(N30,":",M30," (",IF(H30="0","-0",-H30),",",IF(I30="0","-0",-I30),",",IF(J30="0","-0",-J30),IF(SUM(M30:N30)&gt;3,CONCATENATE(",",IF(K30="0","-0",-K30)),""),IF(SUM(M30:N30)&gt;4,CONCATENATE(",",IF(L30="0","-0",-L30)),""),")")))</f>
        <v>3:1 (6,-8,5,7)</v>
      </c>
      <c r="R30" s="2" t="str">
        <f>IF(MAX(M30:N30)=3,Q30,"")</f>
        <v>3:1 (6,-8,5,7)</v>
      </c>
      <c r="T30" s="23">
        <f t="shared" si="20"/>
        <v>1</v>
      </c>
      <c r="U30" s="23">
        <f t="shared" si="20"/>
        <v>-1</v>
      </c>
      <c r="V30" s="23">
        <f t="shared" si="20"/>
        <v>1</v>
      </c>
      <c r="W30" s="23">
        <f t="shared" si="20"/>
        <v>1</v>
      </c>
      <c r="X30" s="23">
        <f t="shared" si="20"/>
        <v>0</v>
      </c>
    </row>
    <row r="31" spans="1:24" ht="12.75">
      <c r="A31" s="2" t="str">
        <f>CONCATENATE("Útěcha ",úvod!$C$8," - 3.kolo")</f>
        <v>Útěcha YOUNGER CADET BOYS - 3.kolo</v>
      </c>
      <c r="B31" s="2">
        <f>O25</f>
        <v>52</v>
      </c>
      <c r="C31" s="2" t="str">
        <f>IF($B31=0,"",VLOOKUP($B31,seznam!$A$2:$D$269,2))</f>
        <v>Oharek David</v>
      </c>
      <c r="D31" s="2" t="str">
        <f>IF($B31=0,"",VLOOKUP($B31,seznam!$A$2:$E$269,4))</f>
        <v>Zlín</v>
      </c>
      <c r="E31" s="2">
        <f>O26</f>
        <v>57</v>
      </c>
      <c r="F31" s="2" t="str">
        <f>IF($E31=0,"",VLOOKUP($E31,seznam!$A$2:$D$269,2))</f>
        <v>Plhák Martin</v>
      </c>
      <c r="G31" s="2" t="str">
        <f>IF($E31=0,"",VLOOKUP($E31,seznam!$A$2:$E$269,4))</f>
        <v>Zlín </v>
      </c>
      <c r="H31" s="67" t="s">
        <v>225</v>
      </c>
      <c r="I31" s="68" t="s">
        <v>221</v>
      </c>
      <c r="J31" s="68" t="s">
        <v>213</v>
      </c>
      <c r="K31" s="68" t="s">
        <v>207</v>
      </c>
      <c r="L31" s="69"/>
      <c r="M31" s="2">
        <f>COUNTIF(T31:X31,"&gt;0")</f>
        <v>1</v>
      </c>
      <c r="N31" s="2">
        <f>COUNTIF(T31:X31,"&lt;0")</f>
        <v>3</v>
      </c>
      <c r="O31" s="2">
        <f>IF(M31=N31,0,IF(M31&gt;N31,B31,E31))</f>
        <v>57</v>
      </c>
      <c r="P31" s="2" t="str">
        <f>IF($O31=0,"",VLOOKUP($O31,seznam!$A$2:$D$269,2))</f>
        <v>Plhák Martin</v>
      </c>
      <c r="Q31" s="2" t="str">
        <f>IF(M31=N31,"",IF(M31&gt;N31,CONCATENATE(M31,":",N31," (",H31,",",I31,",",J31,IF(SUM(M31:N31)&gt;3,",",""),K31,IF(SUM(M31:N31)&gt;4,",",""),L31,")"),CONCATENATE(N31,":",M31," (",IF(H31="0","-0",-H31),",",IF(I31="0","-0",-I31),",",IF(J31="0","-0",-J31),IF(SUM(M31:N31)&gt;3,CONCATENATE(",",IF(K31="0","-0",-K31)),""),IF(SUM(M31:N31)&gt;4,CONCATENATE(",",IF(L31="0","-0",-L31)),""),")")))</f>
        <v>3:1 (4,6,-9,9)</v>
      </c>
      <c r="R31" s="2" t="str">
        <f>IF(MAX(M31:N31)=3,Q31,"")</f>
        <v>3:1 (4,6,-9,9)</v>
      </c>
      <c r="T31" s="23">
        <f t="shared" si="20"/>
        <v>-1</v>
      </c>
      <c r="U31" s="23">
        <f t="shared" si="20"/>
        <v>-1</v>
      </c>
      <c r="V31" s="23">
        <f t="shared" si="20"/>
        <v>1</v>
      </c>
      <c r="W31" s="23">
        <f t="shared" si="20"/>
        <v>-1</v>
      </c>
      <c r="X31" s="23">
        <f t="shared" si="20"/>
        <v>0</v>
      </c>
    </row>
    <row r="32" spans="8:12" ht="13.5" thickBot="1">
      <c r="H32" s="19"/>
      <c r="I32" s="19"/>
      <c r="J32" s="19"/>
      <c r="K32" s="19"/>
      <c r="L32" s="19"/>
    </row>
    <row r="33" spans="1:24" ht="13.5" thickTop="1">
      <c r="A33" s="2" t="str">
        <f>CONCATENATE("Útěcha ",úvod!$C$8," - 4.kolo")</f>
        <v>Útěcha YOUNGER CADET BOYS - 4.kolo</v>
      </c>
      <c r="B33" s="2">
        <f>O28</f>
        <v>54</v>
      </c>
      <c r="C33" s="2" t="str">
        <f>IF($B33=0,"",VLOOKUP($B33,seznam!$A$2:$D$269,2))</f>
        <v>Nedbálek Michal</v>
      </c>
      <c r="D33" s="2" t="str">
        <f>IF($B33=0,"",VLOOKUP($B33,seznam!$A$2:$E$269,4))</f>
        <v>Zlín</v>
      </c>
      <c r="E33" s="2">
        <f>O29</f>
        <v>20</v>
      </c>
      <c r="F33" s="2" t="str">
        <f>IF($E33=0,"",VLOOKUP($E33,seznam!$A$2:$D$269,2))</f>
        <v>Nadav Lazimi</v>
      </c>
      <c r="G33" s="2" t="str">
        <f>IF($E33=0,"",VLOOKUP($E33,seznam!$A$2:$E$269,4))</f>
        <v>Israel </v>
      </c>
      <c r="H33" s="64" t="s">
        <v>214</v>
      </c>
      <c r="I33" s="65" t="s">
        <v>215</v>
      </c>
      <c r="J33" s="65" t="s">
        <v>218</v>
      </c>
      <c r="K33" s="65"/>
      <c r="L33" s="66"/>
      <c r="M33" s="2">
        <f>COUNTIF(T33:X33,"&gt;0")</f>
        <v>0</v>
      </c>
      <c r="N33" s="2">
        <f>COUNTIF(T33:X33,"&lt;0")</f>
        <v>3</v>
      </c>
      <c r="O33" s="2">
        <f>IF(M33=N33,0,IF(M33&gt;N33,B33,E33))</f>
        <v>20</v>
      </c>
      <c r="P33" s="2" t="str">
        <f>IF($O33=0,"",VLOOKUP($O33,seznam!$A$2:$D$269,2))</f>
        <v>Nadav Lazimi</v>
      </c>
      <c r="Q33" s="2" t="str">
        <f>IF(M33=N33,"",IF(M33&gt;N33,CONCATENATE(M33,":",N33," (",H33,",",I33,",",J33,IF(SUM(M33:N33)&gt;3,",",""),K33,IF(SUM(M33:N33)&gt;4,",",""),L33,")"),CONCATENATE(N33,":",M33," (",IF(H33="0","-0",-H33),",",IF(I33="0","-0",-I33),",",IF(J33="0","-0",-J33),IF(SUM(M33:N33)&gt;3,CONCATENATE(",",IF(K33="0","-0",-K33)),""),IF(SUM(M33:N33)&gt;4,CONCATENATE(",",IF(L33="0","-0",-L33)),""),")")))</f>
        <v>3:0 (10,8,7)</v>
      </c>
      <c r="R33" s="2" t="str">
        <f>IF(MAX(M33:N33)=3,Q33,"")</f>
        <v>3:0 (10,8,7)</v>
      </c>
      <c r="T33" s="23">
        <f aca="true" t="shared" si="21" ref="T33:X34">IF(H33="",0,IF(MID(H33,1,1)="-",-1,1))</f>
        <v>-1</v>
      </c>
      <c r="U33" s="23">
        <f t="shared" si="21"/>
        <v>-1</v>
      </c>
      <c r="V33" s="23">
        <f t="shared" si="21"/>
        <v>-1</v>
      </c>
      <c r="W33" s="23">
        <f t="shared" si="21"/>
        <v>0</v>
      </c>
      <c r="X33" s="23">
        <f t="shared" si="21"/>
        <v>0</v>
      </c>
    </row>
    <row r="34" spans="1:24" ht="12.75">
      <c r="A34" s="2" t="str">
        <f>CONCATENATE("Útěcha ",úvod!$C$8," - 4.kolo")</f>
        <v>Útěcha YOUNGER CADET BOYS - 4.kolo</v>
      </c>
      <c r="B34" s="2">
        <f>O30</f>
        <v>21</v>
      </c>
      <c r="C34" s="2" t="str">
        <f>IF($B34=0,"",VLOOKUP($B34,seznam!$A$2:$D$269,2))</f>
        <v>Noam  Baltiansky</v>
      </c>
      <c r="D34" s="2" t="str">
        <f>IF($B34=0,"",VLOOKUP($B34,seznam!$A$2:$E$269,4))</f>
        <v>Israel </v>
      </c>
      <c r="E34" s="2">
        <f>O31</f>
        <v>57</v>
      </c>
      <c r="F34" s="2" t="str">
        <f>IF($E34=0,"",VLOOKUP($E34,seznam!$A$2:$D$269,2))</f>
        <v>Plhák Martin</v>
      </c>
      <c r="G34" s="2" t="str">
        <f>IF($E34=0,"",VLOOKUP($E34,seznam!$A$2:$E$269,4))</f>
        <v>Zlín </v>
      </c>
      <c r="H34" s="67" t="s">
        <v>229</v>
      </c>
      <c r="I34" s="68" t="s">
        <v>207</v>
      </c>
      <c r="J34" s="68" t="s">
        <v>222</v>
      </c>
      <c r="K34" s="68" t="s">
        <v>215</v>
      </c>
      <c r="L34" s="69"/>
      <c r="M34" s="2">
        <f>COUNTIF(T34:X34,"&gt;0")</f>
        <v>1</v>
      </c>
      <c r="N34" s="2">
        <f>COUNTIF(T34:X34,"&lt;0")</f>
        <v>3</v>
      </c>
      <c r="O34" s="2">
        <f>IF(M34=N34,0,IF(M34&gt;N34,B34,E34))</f>
        <v>57</v>
      </c>
      <c r="P34" s="2" t="str">
        <f>IF($O34=0,"",VLOOKUP($O34,seznam!$A$2:$D$269,2))</f>
        <v>Plhák Martin</v>
      </c>
      <c r="Q34" s="2" t="str">
        <f>IF(M34=N34,"",IF(M34&gt;N34,CONCATENATE(M34,":",N34," (",H34,",",I34,",",J34,IF(SUM(M34:N34)&gt;3,",",""),K34,IF(SUM(M34:N34)&gt;4,",",""),L34,")"),CONCATENATE(N34,":",M34," (",IF(H34="0","-0",-H34),",",IF(I34="0","-0",-I34),",",IF(J34="0","-0",-J34),IF(SUM(M34:N34)&gt;3,CONCATENATE(",",IF(K34="0","-0",-K34)),""),IF(SUM(M34:N34)&gt;4,CONCATENATE(",",IF(L34="0","-0",-L34)),""),")")))</f>
        <v>3:1 (2,9,-10,8)</v>
      </c>
      <c r="R34" s="2" t="str">
        <f>IF(MAX(M34:N34)=3,Q34,"")</f>
        <v>3:1 (2,9,-10,8)</v>
      </c>
      <c r="T34" s="23">
        <f t="shared" si="21"/>
        <v>-1</v>
      </c>
      <c r="U34" s="23">
        <f t="shared" si="21"/>
        <v>-1</v>
      </c>
      <c r="V34" s="23">
        <f t="shared" si="21"/>
        <v>1</v>
      </c>
      <c r="W34" s="23">
        <f t="shared" si="21"/>
        <v>-1</v>
      </c>
      <c r="X34" s="23">
        <f t="shared" si="21"/>
        <v>0</v>
      </c>
    </row>
    <row r="35" ht="13.5" thickBot="1"/>
    <row r="36" spans="1:24" ht="13.5" thickTop="1">
      <c r="A36" s="2" t="str">
        <f>CONCATENATE("Útěcha ",úvod!$C$8," - 5.kolo")</f>
        <v>Útěcha YOUNGER CADET BOYS - 5.kolo</v>
      </c>
      <c r="B36" s="2">
        <f>O33</f>
        <v>20</v>
      </c>
      <c r="C36" s="2" t="str">
        <f>IF($B36=0,"",VLOOKUP($B36,seznam!$A$2:$D$269,2))</f>
        <v>Nadav Lazimi</v>
      </c>
      <c r="D36" s="2" t="str">
        <f>IF($B36=0,"",VLOOKUP($B36,seznam!$A$2:$E$269,4))</f>
        <v>Israel </v>
      </c>
      <c r="E36" s="2">
        <f>O34</f>
        <v>57</v>
      </c>
      <c r="F36" s="2" t="str">
        <f>IF($E36=0,"",VLOOKUP($E36,seznam!$A$2:$D$269,2))</f>
        <v>Plhák Martin</v>
      </c>
      <c r="G36" s="2" t="str">
        <f>IF($E36=0,"",VLOOKUP($E36,seznam!$A$2:$E$269,4))</f>
        <v>Zlín </v>
      </c>
      <c r="H36" s="64" t="s">
        <v>212</v>
      </c>
      <c r="I36" s="65" t="s">
        <v>224</v>
      </c>
      <c r="J36" s="65" t="s">
        <v>224</v>
      </c>
      <c r="K36" s="65" t="s">
        <v>229</v>
      </c>
      <c r="L36" s="66"/>
      <c r="M36" s="2">
        <f>COUNTIF(T36:X36,"&gt;0")</f>
        <v>1</v>
      </c>
      <c r="N36" s="2">
        <f>COUNTIF(T36:X36,"&lt;0")</f>
        <v>3</v>
      </c>
      <c r="O36" s="2">
        <f>IF(M36=N36,0,IF(M36&gt;N36,B36,E36))</f>
        <v>57</v>
      </c>
      <c r="P36" s="2" t="str">
        <f>IF($O36=0,"",VLOOKUP($O36,seznam!$A$2:$D$269,2))</f>
        <v>Plhák Martin</v>
      </c>
      <c r="Q36" s="2" t="str">
        <f>IF(M36=N36,"",IF(M36&gt;N36,CONCATENATE(M36,":",N36," (",H36,",",I36,",",J36,IF(SUM(M36:N36)&gt;3,",",""),K36,IF(SUM(M36:N36)&gt;4,",",""),L36,")"),CONCATENATE(N36,":",M36," (",IF(H36="0","-0",-H36),",",IF(I36="0","-0",-I36),",",IF(J36="0","-0",-J36),IF(SUM(M36:N36)&gt;3,CONCATENATE(",",IF(K36="0","-0",-K36)),""),IF(SUM(M36:N36)&gt;4,CONCATENATE(",",IF(L36="0","-0",-L36)),""),")")))</f>
        <v>3:1 (-3,5,5,2)</v>
      </c>
      <c r="R36" s="2" t="str">
        <f>IF(MAX(M36:N36)=3,Q36,"")</f>
        <v>3:1 (-3,5,5,2)</v>
      </c>
      <c r="T36" s="23">
        <f>IF(H36="",0,IF(MID(H36,1,1)="-",-1,1))</f>
        <v>1</v>
      </c>
      <c r="U36" s="23">
        <f>IF(I36="",0,IF(MID(I36,1,1)="-",-1,1))</f>
        <v>-1</v>
      </c>
      <c r="V36" s="23">
        <f>IF(J36="",0,IF(MID(J36,1,1)="-",-1,1))</f>
        <v>-1</v>
      </c>
      <c r="W36" s="23">
        <f>IF(K36="",0,IF(MID(K36,1,1)="-",-1,1))</f>
        <v>-1</v>
      </c>
      <c r="X36" s="23">
        <f>IF(L36="",0,IF(MID(L36,1,1)="-",-1,1))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asus PC</cp:lastModifiedBy>
  <cp:lastPrinted>2011-08-15T10:09:55Z</cp:lastPrinted>
  <dcterms:created xsi:type="dcterms:W3CDTF">2002-02-19T15:28:55Z</dcterms:created>
  <dcterms:modified xsi:type="dcterms:W3CDTF">2011-08-16T00:02:51Z</dcterms:modified>
  <cp:category/>
  <cp:version/>
  <cp:contentType/>
  <cp:contentStatus/>
</cp:coreProperties>
</file>